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6.xml" ContentType="application/vnd.ms-excel.person+xml"/>
  <Override PartName="/xl/persons/person5.xml" ContentType="application/vnd.ms-excel.person+xml"/>
  <Override PartName="/xl/persons/person1.xml" ContentType="application/vnd.ms-excel.person+xml"/>
  <Override PartName="/xl/persons/person7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8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13_ncr:1_{65BB609A-6766-4811-82D1-2E22A52C34DC}" xr6:coauthVersionLast="47" xr6:coauthVersionMax="47" xr10:uidLastSave="{00000000-0000-0000-0000-000000000000}"/>
  <bookViews>
    <workbookView xWindow="1080" yWindow="1065" windowWidth="18750" windowHeight="11235" tabRatio="834" firstSheet="32" activeTab="32" xr2:uid="{00000000-000D-0000-FFFF-FFFF00000000}"/>
  </bookViews>
  <sheets>
    <sheet name="ม.ค.64" sheetId="14" state="hidden" r:id="rId1"/>
    <sheet name="ม.ค.64 (เงินเดือน)" sheetId="20" state="hidden" r:id="rId2"/>
    <sheet name="ก.พ.64" sheetId="15" state="hidden" r:id="rId3"/>
    <sheet name="ก.พ.64 (เงินเดือน)" sheetId="21" state="hidden" r:id="rId4"/>
    <sheet name="มี.ค.64" sheetId="16" state="hidden" r:id="rId5"/>
    <sheet name="มี.ค.64 (เงินเดือน)" sheetId="23" state="hidden" r:id="rId6"/>
    <sheet name="เม.ย.64" sheetId="17" state="hidden" r:id="rId7"/>
    <sheet name="เม.ย.64 (เงินเดือน)" sheetId="24" state="hidden" r:id="rId8"/>
    <sheet name="พ.ค.64" sheetId="18" state="hidden" r:id="rId9"/>
    <sheet name="พ.ค.64 (เงินเดือน)" sheetId="25" state="hidden" r:id="rId10"/>
    <sheet name="มิ.ย.64" sheetId="19" state="hidden" r:id="rId11"/>
    <sheet name="มิ.ย.64 (เงินเดือน)" sheetId="26" state="hidden" r:id="rId12"/>
    <sheet name="ก.ค.64" sheetId="22" state="hidden" r:id="rId13"/>
    <sheet name="ก.ค.64 (เงินเดือน)" sheetId="29" state="hidden" r:id="rId14"/>
    <sheet name="ส.ค.64" sheetId="27" state="hidden" r:id="rId15"/>
    <sheet name="ส.ค.64 (เงินเดือน)" sheetId="31" state="hidden" r:id="rId16"/>
    <sheet name="ก.ย.64" sheetId="28" state="hidden" r:id="rId17"/>
    <sheet name="ก.ย.64 (เงินเดือน)" sheetId="32" state="hidden" r:id="rId18"/>
    <sheet name="ต.ค.64 " sheetId="30" state="hidden" r:id="rId19"/>
    <sheet name="ต.ค.64  (เงินเดือน)" sheetId="33" state="hidden" r:id="rId20"/>
    <sheet name="พ.ย.64" sheetId="34" state="hidden" r:id="rId21"/>
    <sheet name="ธ.ค.64" sheetId="35" state="hidden" r:id="rId22"/>
    <sheet name="ก.พ.65" sheetId="37" state="hidden" r:id="rId23"/>
    <sheet name="มี.ค.65" sheetId="38" state="hidden" r:id="rId24"/>
    <sheet name="เม.ย.65" sheetId="39" state="hidden" r:id="rId25"/>
    <sheet name="พ.ค.65" sheetId="40" state="hidden" r:id="rId26"/>
    <sheet name="มิ.ย.65" sheetId="41" state="hidden" r:id="rId27"/>
    <sheet name="ก.ค.65" sheetId="42" state="hidden" r:id="rId28"/>
    <sheet name="ส.ค.65" sheetId="43" state="hidden" r:id="rId29"/>
    <sheet name="ก.ย.65" sheetId="44" state="hidden" r:id="rId30"/>
    <sheet name="ต.ค.65" sheetId="45" state="hidden" r:id="rId31"/>
    <sheet name="พ.ย.65" sheetId="46" state="hidden" r:id="rId32"/>
    <sheet name="เงินเดือน" sheetId="83" r:id="rId33"/>
  </sheets>
  <definedNames>
    <definedName name="_xlnm._FilterDatabase" localSheetId="3" hidden="1">'ก.พ.64 (เงินเดือน)'!$A$5:$Q$53</definedName>
    <definedName name="_xlnm._FilterDatabase" localSheetId="9" hidden="1">'พ.ค.64 (เงินเดือน)'!$A$5:$R$51</definedName>
    <definedName name="_xlnm._FilterDatabase" localSheetId="1" hidden="1">'ม.ค.64 (เงินเดือน)'!$A$5:$P$53</definedName>
    <definedName name="_xlnm._FilterDatabase" localSheetId="11" hidden="1">'มิ.ย.64 (เงินเดือน)'!$A$5:$R$52</definedName>
    <definedName name="_xlnm._FilterDatabase" localSheetId="5" hidden="1">'มี.ค.64 (เงินเดือน)'!$A$5:$R$52</definedName>
    <definedName name="_xlnm._FilterDatabase" localSheetId="7" hidden="1">'เม.ย.64 (เงินเดือน)'!$A$5:$R$52</definedName>
    <definedName name="_xlnm.Print_Area" localSheetId="12">ก.ค.64!$A$1:$Q$57</definedName>
    <definedName name="_xlnm.Print_Area" localSheetId="13">'ก.ค.64 (เงินเดือน)'!$A$1:$R$62</definedName>
    <definedName name="_xlnm.Print_Area" localSheetId="2">ก.พ.64!$A$1:$P$58</definedName>
    <definedName name="_xlnm.Print_Area" localSheetId="3">'ก.พ.64 (เงินเดือน)'!$A$1:$Q$63</definedName>
    <definedName name="_xlnm.Print_Area" localSheetId="16">ก.ย.64!$A$1:$Q$57</definedName>
    <definedName name="_xlnm.Print_Area" localSheetId="17">'ก.ย.64 (เงินเดือน)'!$A$1:$R$63</definedName>
    <definedName name="_xlnm.Print_Area" localSheetId="32">เงินเดือน!$A$1:$R$33</definedName>
    <definedName name="_xlnm.Print_Area" localSheetId="18">'ต.ค.64 '!$A$1:$Q$57</definedName>
    <definedName name="_xlnm.Print_Area" localSheetId="19">'ต.ค.64  (เงินเดือน)'!$A$1:$R$64</definedName>
    <definedName name="_xlnm.Print_Area" localSheetId="21">ธ.ค.64!$A$1:$T$65</definedName>
    <definedName name="_xlnm.Print_Area" localSheetId="8">พ.ค.64!$A$1:$P$56</definedName>
    <definedName name="_xlnm.Print_Area" localSheetId="9">'พ.ค.64 (เงินเดือน)'!$A$1:$Q$61</definedName>
    <definedName name="_xlnm.Print_Area" localSheetId="20">พ.ย.64!$A$1:$T$65</definedName>
    <definedName name="_xlnm.Print_Area" localSheetId="0">ม.ค.64!$A$1:$O$57</definedName>
    <definedName name="_xlnm.Print_Area" localSheetId="1">'ม.ค.64 (เงินเดือน)'!$A$1:$P$63</definedName>
    <definedName name="_xlnm.Print_Area" localSheetId="10">มิ.ย.64!$A$1:$P$57</definedName>
    <definedName name="_xlnm.Print_Area" localSheetId="11">'มิ.ย.64 (เงินเดือน)'!$A$1:$Q$63</definedName>
    <definedName name="_xlnm.Print_Area" localSheetId="4">มี.ค.64!$A$1:$P$57</definedName>
    <definedName name="_xlnm.Print_Area" localSheetId="5">'มี.ค.64 (เงินเดือน)'!$A$1:$Q$62</definedName>
    <definedName name="_xlnm.Print_Area" localSheetId="6">เม.ย.64!$A$1:$P$57</definedName>
    <definedName name="_xlnm.Print_Area" localSheetId="7">'เม.ย.64 (เงินเดือน)'!$A$1:$Q$62</definedName>
    <definedName name="_xlnm.Print_Area" localSheetId="14">ส.ค.64!$A$1:$Q$57</definedName>
    <definedName name="_xlnm.Print_Area" localSheetId="15">'ส.ค.64 (เงินเดือน)'!$A$1:$Q$62</definedName>
    <definedName name="_xlnm.Print_Titles" localSheetId="12">ก.ค.64!$1:$6</definedName>
    <definedName name="_xlnm.Print_Titles" localSheetId="13">'ก.ค.64 (เงินเดือน)'!$1:$6</definedName>
    <definedName name="_xlnm.Print_Titles" localSheetId="2">ก.พ.64!$1:$6</definedName>
    <definedName name="_xlnm.Print_Titles" localSheetId="3">'ก.พ.64 (เงินเดือน)'!$1:$6</definedName>
    <definedName name="_xlnm.Print_Titles" localSheetId="16">ก.ย.64!$1:$6</definedName>
    <definedName name="_xlnm.Print_Titles" localSheetId="17">'ก.ย.64 (เงินเดือน)'!$1:$6</definedName>
    <definedName name="_xlnm.Print_Titles" localSheetId="32">เงินเดือน!$1:$6</definedName>
    <definedName name="_xlnm.Print_Titles" localSheetId="18">'ต.ค.64 '!$1:$6</definedName>
    <definedName name="_xlnm.Print_Titles" localSheetId="19">'ต.ค.64  (เงินเดือน)'!$1:$6</definedName>
    <definedName name="_xlnm.Print_Titles" localSheetId="21">ธ.ค.64!$1:$6</definedName>
    <definedName name="_xlnm.Print_Titles" localSheetId="8">พ.ค.64!$1:$6</definedName>
    <definedName name="_xlnm.Print_Titles" localSheetId="9">'พ.ค.64 (เงินเดือน)'!$1:$6</definedName>
    <definedName name="_xlnm.Print_Titles" localSheetId="20">พ.ย.64!$1:$6</definedName>
    <definedName name="_xlnm.Print_Titles" localSheetId="31">พ.ย.65!$1:$6</definedName>
    <definedName name="_xlnm.Print_Titles" localSheetId="0">ม.ค.64!$1:$6</definedName>
    <definedName name="_xlnm.Print_Titles" localSheetId="1">'ม.ค.64 (เงินเดือน)'!$1:$6</definedName>
    <definedName name="_xlnm.Print_Titles" localSheetId="10">มิ.ย.64!$1:$6</definedName>
    <definedName name="_xlnm.Print_Titles" localSheetId="11">'มิ.ย.64 (เงินเดือน)'!$1:$6</definedName>
    <definedName name="_xlnm.Print_Titles" localSheetId="4">มี.ค.64!$1:$6</definedName>
    <definedName name="_xlnm.Print_Titles" localSheetId="5">'มี.ค.64 (เงินเดือน)'!$1:$6</definedName>
    <definedName name="_xlnm.Print_Titles" localSheetId="6">เม.ย.64!$1:$6</definedName>
    <definedName name="_xlnm.Print_Titles" localSheetId="7">'เม.ย.64 (เงินเดือน)'!$1:$6</definedName>
    <definedName name="_xlnm.Print_Titles" localSheetId="14">ส.ค.64!$1:$6</definedName>
    <definedName name="_xlnm.Print_Titles" localSheetId="15">'ส.ค.64 (เงินเดือน)'!$1:$6</definedName>
  </definedNames>
  <calcPr calcId="191029"/>
</workbook>
</file>

<file path=xl/calcChain.xml><?xml version="1.0" encoding="utf-8"?>
<calcChain xmlns="http://schemas.openxmlformats.org/spreadsheetml/2006/main">
  <c r="P64" i="45" l="1"/>
  <c r="P63" i="45"/>
  <c r="P61" i="45"/>
  <c r="F63" i="46"/>
  <c r="F65" i="46" s="1"/>
  <c r="E63" i="46"/>
  <c r="D63" i="46"/>
  <c r="C63" i="46"/>
  <c r="R50" i="46"/>
  <c r="T49" i="46"/>
  <c r="R49" i="46"/>
  <c r="Q49" i="46"/>
  <c r="P49" i="46"/>
  <c r="G64" i="46"/>
  <c r="G65" i="46" s="1"/>
  <c r="I51" i="46"/>
  <c r="S50" i="46"/>
  <c r="S51" i="46" s="1"/>
  <c r="Q46" i="46"/>
  <c r="M46" i="46"/>
  <c r="L46" i="46"/>
  <c r="K46" i="46"/>
  <c r="C64" i="46"/>
  <c r="P44" i="46"/>
  <c r="S44" i="46" s="1"/>
  <c r="G43" i="46"/>
  <c r="P43" i="46" s="1"/>
  <c r="S43" i="46" s="1"/>
  <c r="S42" i="46"/>
  <c r="R42" i="46"/>
  <c r="G41" i="46"/>
  <c r="P41" i="46" s="1"/>
  <c r="S41" i="46" s="1"/>
  <c r="S40" i="46"/>
  <c r="R40" i="46"/>
  <c r="S39" i="46"/>
  <c r="R39" i="46"/>
  <c r="G38" i="46"/>
  <c r="P38" i="46" s="1"/>
  <c r="S38" i="46" s="1"/>
  <c r="S37" i="46"/>
  <c r="R37" i="46"/>
  <c r="G36" i="46"/>
  <c r="P36" i="46" s="1"/>
  <c r="S36" i="46" s="1"/>
  <c r="G35" i="46"/>
  <c r="P35" i="46" s="1"/>
  <c r="S35" i="46" s="1"/>
  <c r="G34" i="46"/>
  <c r="P34" i="46" s="1"/>
  <c r="S34" i="46" s="1"/>
  <c r="G33" i="46"/>
  <c r="P33" i="46" s="1"/>
  <c r="S33" i="46" s="1"/>
  <c r="G32" i="46"/>
  <c r="P32" i="46" s="1"/>
  <c r="S32" i="46" s="1"/>
  <c r="S31" i="46"/>
  <c r="R31" i="46"/>
  <c r="S30" i="46"/>
  <c r="R30" i="46"/>
  <c r="S29" i="46"/>
  <c r="R29" i="46"/>
  <c r="S28" i="46"/>
  <c r="R28" i="46"/>
  <c r="G27" i="46"/>
  <c r="P27" i="46" s="1"/>
  <c r="S27" i="46" s="1"/>
  <c r="G26" i="46"/>
  <c r="P26" i="46" s="1"/>
  <c r="S25" i="46"/>
  <c r="R25" i="46"/>
  <c r="S24" i="46"/>
  <c r="R24" i="46"/>
  <c r="S23" i="46"/>
  <c r="R23" i="46"/>
  <c r="S22" i="46"/>
  <c r="R22" i="46"/>
  <c r="S21" i="46"/>
  <c r="R21" i="46"/>
  <c r="S20" i="46"/>
  <c r="R20" i="46"/>
  <c r="S19" i="46"/>
  <c r="R19" i="46"/>
  <c r="S18" i="46"/>
  <c r="R18" i="46"/>
  <c r="S17" i="46"/>
  <c r="R17" i="46"/>
  <c r="S16" i="46"/>
  <c r="R16" i="46"/>
  <c r="S15" i="46"/>
  <c r="R15" i="46"/>
  <c r="S14" i="46"/>
  <c r="R14" i="46"/>
  <c r="S13" i="46"/>
  <c r="R13" i="46"/>
  <c r="S12" i="46"/>
  <c r="R12" i="46"/>
  <c r="S11" i="46"/>
  <c r="R11" i="46"/>
  <c r="S10" i="46"/>
  <c r="R10" i="46"/>
  <c r="P9" i="46"/>
  <c r="R9" i="46" s="1"/>
  <c r="P8" i="46"/>
  <c r="S7" i="46"/>
  <c r="R7" i="46"/>
  <c r="H64" i="45"/>
  <c r="H65" i="45"/>
  <c r="D65" i="45"/>
  <c r="E65" i="45"/>
  <c r="C65" i="45"/>
  <c r="Q56" i="45"/>
  <c r="T56" i="45"/>
  <c r="P56" i="45"/>
  <c r="S52" i="45"/>
  <c r="R52" i="45"/>
  <c r="Q52" i="45"/>
  <c r="G52" i="45"/>
  <c r="P52" i="45"/>
  <c r="P51" i="45"/>
  <c r="R51" i="45" s="1"/>
  <c r="P40" i="45"/>
  <c r="P49" i="45"/>
  <c r="S49" i="45" s="1"/>
  <c r="P48" i="45"/>
  <c r="P47" i="45"/>
  <c r="P36" i="45"/>
  <c r="P38" i="45"/>
  <c r="P26" i="45"/>
  <c r="P8" i="45"/>
  <c r="P9" i="45"/>
  <c r="S11" i="45"/>
  <c r="S15" i="45"/>
  <c r="S19" i="45"/>
  <c r="S23" i="45"/>
  <c r="R7" i="45"/>
  <c r="S51" i="45"/>
  <c r="G51" i="45"/>
  <c r="G65" i="45"/>
  <c r="G66" i="45" s="1"/>
  <c r="F64" i="45"/>
  <c r="F66" i="45" s="1"/>
  <c r="I57" i="45"/>
  <c r="S56" i="45"/>
  <c r="S57" i="45" s="1"/>
  <c r="R56" i="45"/>
  <c r="R55" i="45"/>
  <c r="R57" i="45" s="1"/>
  <c r="M52" i="45"/>
  <c r="L52" i="45"/>
  <c r="K52" i="45"/>
  <c r="S50" i="45"/>
  <c r="R50" i="45"/>
  <c r="R49" i="45"/>
  <c r="S48" i="45"/>
  <c r="R48" i="45"/>
  <c r="G47" i="45"/>
  <c r="S46" i="45"/>
  <c r="R46" i="45"/>
  <c r="G45" i="45"/>
  <c r="P45" i="45" s="1"/>
  <c r="S44" i="45"/>
  <c r="R44" i="45"/>
  <c r="S43" i="45"/>
  <c r="R43" i="45"/>
  <c r="S42" i="45"/>
  <c r="R42" i="45"/>
  <c r="S41" i="45"/>
  <c r="R41" i="45"/>
  <c r="G40" i="45"/>
  <c r="S39" i="45"/>
  <c r="R39" i="45"/>
  <c r="G38" i="45"/>
  <c r="G37" i="45"/>
  <c r="P37" i="45" s="1"/>
  <c r="G36" i="45"/>
  <c r="G35" i="45"/>
  <c r="P35" i="45" s="1"/>
  <c r="G34" i="45"/>
  <c r="P34" i="45" s="1"/>
  <c r="G33" i="45"/>
  <c r="P33" i="45" s="1"/>
  <c r="G32" i="45"/>
  <c r="P32" i="45" s="1"/>
  <c r="S31" i="45"/>
  <c r="R31" i="45"/>
  <c r="S30" i="45"/>
  <c r="R30" i="45"/>
  <c r="S29" i="45"/>
  <c r="R29" i="45"/>
  <c r="S28" i="45"/>
  <c r="R28" i="45"/>
  <c r="G27" i="45"/>
  <c r="P27" i="45" s="1"/>
  <c r="G26" i="45"/>
  <c r="S25" i="45"/>
  <c r="R25" i="45"/>
  <c r="S24" i="45"/>
  <c r="R24" i="45"/>
  <c r="S22" i="45"/>
  <c r="R22" i="45"/>
  <c r="S21" i="45"/>
  <c r="R21" i="45"/>
  <c r="S20" i="45"/>
  <c r="R20" i="45"/>
  <c r="S18" i="45"/>
  <c r="R18" i="45"/>
  <c r="S17" i="45"/>
  <c r="R17" i="45"/>
  <c r="S16" i="45"/>
  <c r="R16" i="45"/>
  <c r="S14" i="45"/>
  <c r="R14" i="45"/>
  <c r="S13" i="45"/>
  <c r="R13" i="45"/>
  <c r="S12" i="45"/>
  <c r="R12" i="45"/>
  <c r="S10" i="45"/>
  <c r="R10" i="45"/>
  <c r="S9" i="45"/>
  <c r="R9" i="45"/>
  <c r="S8" i="45"/>
  <c r="R8" i="45"/>
  <c r="P47" i="44"/>
  <c r="S47" i="44" s="1"/>
  <c r="P37" i="44"/>
  <c r="P32" i="44"/>
  <c r="S32" i="44" s="1"/>
  <c r="P26" i="44"/>
  <c r="P27" i="44"/>
  <c r="P40" i="44"/>
  <c r="S40" i="44" s="1"/>
  <c r="P38" i="44"/>
  <c r="S38" i="44" s="1"/>
  <c r="P36" i="44"/>
  <c r="P35" i="44"/>
  <c r="S35" i="44" s="1"/>
  <c r="P34" i="44"/>
  <c r="P33" i="44"/>
  <c r="P45" i="44"/>
  <c r="G64" i="44"/>
  <c r="G65" i="44" s="1"/>
  <c r="E64" i="44"/>
  <c r="C64" i="44"/>
  <c r="F63" i="44"/>
  <c r="F65" i="44" s="1"/>
  <c r="S56" i="44"/>
  <c r="I56" i="44"/>
  <c r="S55" i="44"/>
  <c r="R55" i="44"/>
  <c r="Q55" i="44"/>
  <c r="P55" i="44"/>
  <c r="R54" i="44"/>
  <c r="R56" i="44" s="1"/>
  <c r="Q51" i="44"/>
  <c r="M51" i="44"/>
  <c r="L51" i="44"/>
  <c r="K51" i="44"/>
  <c r="S50" i="44"/>
  <c r="R50" i="44"/>
  <c r="S49" i="44"/>
  <c r="R49" i="44"/>
  <c r="S48" i="44"/>
  <c r="R48" i="44"/>
  <c r="G47" i="44"/>
  <c r="S46" i="44"/>
  <c r="R46" i="44"/>
  <c r="G45" i="44"/>
  <c r="R45" i="44" s="1"/>
  <c r="S44" i="44"/>
  <c r="R44" i="44"/>
  <c r="S43" i="44"/>
  <c r="R43" i="44"/>
  <c r="S42" i="44"/>
  <c r="R42" i="44"/>
  <c r="S41" i="44"/>
  <c r="R41" i="44"/>
  <c r="R40" i="44"/>
  <c r="G40" i="44"/>
  <c r="S39" i="44"/>
  <c r="R39" i="44"/>
  <c r="G38" i="44"/>
  <c r="R38" i="44" s="1"/>
  <c r="S37" i="44"/>
  <c r="G37" i="44"/>
  <c r="R37" i="44" s="1"/>
  <c r="S36" i="44"/>
  <c r="R36" i="44"/>
  <c r="G36" i="44"/>
  <c r="G35" i="44"/>
  <c r="S34" i="44"/>
  <c r="G34" i="44"/>
  <c r="R34" i="44" s="1"/>
  <c r="S33" i="44"/>
  <c r="R33" i="44"/>
  <c r="G33" i="44"/>
  <c r="R32" i="44"/>
  <c r="G32" i="44"/>
  <c r="S31" i="44"/>
  <c r="R31" i="44"/>
  <c r="S30" i="44"/>
  <c r="R30" i="44"/>
  <c r="S29" i="44"/>
  <c r="R29" i="44"/>
  <c r="S28" i="44"/>
  <c r="R28" i="44"/>
  <c r="S27" i="44"/>
  <c r="G27" i="44"/>
  <c r="R27" i="44" s="1"/>
  <c r="S26" i="44"/>
  <c r="G26" i="44"/>
  <c r="S25" i="44"/>
  <c r="R25" i="44"/>
  <c r="S24" i="44"/>
  <c r="R24" i="44"/>
  <c r="S23" i="44"/>
  <c r="R23" i="44"/>
  <c r="S22" i="44"/>
  <c r="R22" i="44"/>
  <c r="S21" i="44"/>
  <c r="R21" i="44"/>
  <c r="S20" i="44"/>
  <c r="R20" i="44"/>
  <c r="S19" i="44"/>
  <c r="R19" i="44"/>
  <c r="S18" i="44"/>
  <c r="R18" i="44"/>
  <c r="S17" i="44"/>
  <c r="R17" i="44"/>
  <c r="S16" i="44"/>
  <c r="R16" i="44"/>
  <c r="S15" i="44"/>
  <c r="R15" i="44"/>
  <c r="S14" i="44"/>
  <c r="R14" i="44"/>
  <c r="S13" i="44"/>
  <c r="R13" i="44"/>
  <c r="S12" i="44"/>
  <c r="R12" i="44"/>
  <c r="S11" i="44"/>
  <c r="R11" i="44"/>
  <c r="S10" i="44"/>
  <c r="R10" i="44"/>
  <c r="S9" i="44"/>
  <c r="D64" i="44" s="1"/>
  <c r="H64" i="44" s="1"/>
  <c r="R9" i="44"/>
  <c r="S8" i="44"/>
  <c r="R8" i="44"/>
  <c r="S7" i="44"/>
  <c r="R7" i="44"/>
  <c r="T55" i="44" s="1"/>
  <c r="E63" i="43"/>
  <c r="D63" i="43"/>
  <c r="C63" i="43"/>
  <c r="T55" i="43"/>
  <c r="Q55" i="43"/>
  <c r="P55" i="43"/>
  <c r="P51" i="43"/>
  <c r="R50" i="43"/>
  <c r="R51" i="43"/>
  <c r="S50" i="43"/>
  <c r="S51" i="43"/>
  <c r="G51" i="43"/>
  <c r="R54" i="43"/>
  <c r="Q54" i="43"/>
  <c r="G64" i="43"/>
  <c r="G65" i="43" s="1"/>
  <c r="E64" i="43"/>
  <c r="C64" i="43"/>
  <c r="F63" i="43"/>
  <c r="F65" i="43" s="1"/>
  <c r="I56" i="43"/>
  <c r="S55" i="43"/>
  <c r="S56" i="43" s="1"/>
  <c r="R55" i="43"/>
  <c r="Q51" i="43"/>
  <c r="M51" i="43"/>
  <c r="L51" i="43"/>
  <c r="K51" i="43"/>
  <c r="S49" i="43"/>
  <c r="R49" i="43"/>
  <c r="S48" i="43"/>
  <c r="R48" i="43"/>
  <c r="S47" i="43"/>
  <c r="G47" i="43"/>
  <c r="R47" i="43" s="1"/>
  <c r="S46" i="43"/>
  <c r="R46" i="43"/>
  <c r="S45" i="43"/>
  <c r="G45" i="43"/>
  <c r="R45" i="43" s="1"/>
  <c r="S44" i="43"/>
  <c r="R44" i="43"/>
  <c r="S43" i="43"/>
  <c r="R43" i="43"/>
  <c r="S42" i="43"/>
  <c r="R42" i="43"/>
  <c r="S41" i="43"/>
  <c r="R41" i="43"/>
  <c r="S40" i="43"/>
  <c r="G40" i="43"/>
  <c r="R40" i="43" s="1"/>
  <c r="S39" i="43"/>
  <c r="R39" i="43"/>
  <c r="S38" i="43"/>
  <c r="G38" i="43"/>
  <c r="R38" i="43" s="1"/>
  <c r="S37" i="43"/>
  <c r="G37" i="43"/>
  <c r="R37" i="43" s="1"/>
  <c r="S36" i="43"/>
  <c r="G36" i="43"/>
  <c r="R36" i="43" s="1"/>
  <c r="S35" i="43"/>
  <c r="G35" i="43"/>
  <c r="R35" i="43" s="1"/>
  <c r="S34" i="43"/>
  <c r="G34" i="43"/>
  <c r="R34" i="43" s="1"/>
  <c r="S33" i="43"/>
  <c r="G33" i="43"/>
  <c r="R33" i="43" s="1"/>
  <c r="S32" i="43"/>
  <c r="G32" i="43"/>
  <c r="R32" i="43" s="1"/>
  <c r="S31" i="43"/>
  <c r="R31" i="43"/>
  <c r="S30" i="43"/>
  <c r="R30" i="43"/>
  <c r="S29" i="43"/>
  <c r="R29" i="43"/>
  <c r="S28" i="43"/>
  <c r="R28" i="43"/>
  <c r="S27" i="43"/>
  <c r="G27" i="43"/>
  <c r="R27" i="43" s="1"/>
  <c r="S26" i="43"/>
  <c r="G26" i="43"/>
  <c r="S25" i="43"/>
  <c r="R25" i="43"/>
  <c r="S24" i="43"/>
  <c r="R24" i="43"/>
  <c r="S23" i="43"/>
  <c r="R23" i="43"/>
  <c r="S22" i="43"/>
  <c r="R22" i="43"/>
  <c r="S21" i="43"/>
  <c r="R21" i="43"/>
  <c r="S20" i="43"/>
  <c r="R20" i="43"/>
  <c r="S19" i="43"/>
  <c r="R19" i="43"/>
  <c r="S18" i="43"/>
  <c r="R18" i="43"/>
  <c r="S17" i="43"/>
  <c r="R17" i="43"/>
  <c r="S16" i="43"/>
  <c r="R16" i="43"/>
  <c r="S15" i="43"/>
  <c r="R15" i="43"/>
  <c r="S14" i="43"/>
  <c r="R14" i="43"/>
  <c r="S13" i="43"/>
  <c r="R13" i="43"/>
  <c r="S12" i="43"/>
  <c r="R12" i="43"/>
  <c r="S11" i="43"/>
  <c r="R11" i="43"/>
  <c r="S10" i="43"/>
  <c r="R10" i="43"/>
  <c r="S9" i="43"/>
  <c r="R9" i="43"/>
  <c r="S8" i="43"/>
  <c r="R8" i="43"/>
  <c r="S7" i="43"/>
  <c r="R7" i="43"/>
  <c r="G64" i="42"/>
  <c r="G65" i="42" s="1"/>
  <c r="E64" i="42"/>
  <c r="C64" i="42"/>
  <c r="F63" i="42"/>
  <c r="F65" i="42" s="1"/>
  <c r="E63" i="42"/>
  <c r="I56" i="42"/>
  <c r="S55" i="42"/>
  <c r="S56" i="42" s="1"/>
  <c r="R55" i="42"/>
  <c r="Q55" i="42"/>
  <c r="P55" i="42"/>
  <c r="R54" i="42"/>
  <c r="Q54" i="42"/>
  <c r="Q51" i="42"/>
  <c r="P51" i="42"/>
  <c r="M51" i="42"/>
  <c r="L51" i="42"/>
  <c r="K51" i="42"/>
  <c r="S50" i="42"/>
  <c r="R50" i="42"/>
  <c r="S49" i="42"/>
  <c r="R49" i="42"/>
  <c r="S48" i="42"/>
  <c r="G48" i="42"/>
  <c r="R48" i="42" s="1"/>
  <c r="S47" i="42"/>
  <c r="G47" i="42"/>
  <c r="R47" i="42" s="1"/>
  <c r="S46" i="42"/>
  <c r="R46" i="42"/>
  <c r="S45" i="42"/>
  <c r="G45" i="42"/>
  <c r="R45" i="42" s="1"/>
  <c r="S44" i="42"/>
  <c r="R44" i="42"/>
  <c r="S43" i="42"/>
  <c r="R43" i="42"/>
  <c r="S42" i="42"/>
  <c r="R42" i="42"/>
  <c r="S41" i="42"/>
  <c r="R41" i="42"/>
  <c r="S40" i="42"/>
  <c r="G40" i="42"/>
  <c r="R40" i="42" s="1"/>
  <c r="S39" i="42"/>
  <c r="R39" i="42"/>
  <c r="S38" i="42"/>
  <c r="G38" i="42"/>
  <c r="R38" i="42" s="1"/>
  <c r="S37" i="42"/>
  <c r="G37" i="42"/>
  <c r="R37" i="42" s="1"/>
  <c r="S36" i="42"/>
  <c r="G36" i="42"/>
  <c r="R36" i="42" s="1"/>
  <c r="S35" i="42"/>
  <c r="G35" i="42"/>
  <c r="R35" i="42" s="1"/>
  <c r="S34" i="42"/>
  <c r="G34" i="42"/>
  <c r="R34" i="42" s="1"/>
  <c r="S33" i="42"/>
  <c r="G33" i="42"/>
  <c r="R33" i="42" s="1"/>
  <c r="S32" i="42"/>
  <c r="G32" i="42"/>
  <c r="R32" i="42" s="1"/>
  <c r="S31" i="42"/>
  <c r="R31" i="42"/>
  <c r="S30" i="42"/>
  <c r="R30" i="42"/>
  <c r="S29" i="42"/>
  <c r="R29" i="42"/>
  <c r="S28" i="42"/>
  <c r="R28" i="42"/>
  <c r="S27" i="42"/>
  <c r="G27" i="42"/>
  <c r="R27" i="42" s="1"/>
  <c r="S26" i="42"/>
  <c r="G26" i="42"/>
  <c r="R26" i="42" s="1"/>
  <c r="S25" i="42"/>
  <c r="R25" i="42"/>
  <c r="S24" i="42"/>
  <c r="R24" i="42"/>
  <c r="S23" i="42"/>
  <c r="R23" i="42"/>
  <c r="S22" i="42"/>
  <c r="R22" i="42"/>
  <c r="S21" i="42"/>
  <c r="R21" i="42"/>
  <c r="S20" i="42"/>
  <c r="R20" i="42"/>
  <c r="S19" i="42"/>
  <c r="R19" i="42"/>
  <c r="S18" i="42"/>
  <c r="R18" i="42"/>
  <c r="S17" i="42"/>
  <c r="R17" i="42"/>
  <c r="S16" i="42"/>
  <c r="R16" i="42"/>
  <c r="S15" i="42"/>
  <c r="R15" i="42"/>
  <c r="S14" i="42"/>
  <c r="R14" i="42"/>
  <c r="S13" i="42"/>
  <c r="R13" i="42"/>
  <c r="S12" i="42"/>
  <c r="R12" i="42"/>
  <c r="S11" i="42"/>
  <c r="R11" i="42"/>
  <c r="S10" i="42"/>
  <c r="R10" i="42"/>
  <c r="S9" i="42"/>
  <c r="R9" i="42"/>
  <c r="S8" i="42"/>
  <c r="R8" i="42"/>
  <c r="S7" i="42"/>
  <c r="R7" i="42"/>
  <c r="E64" i="41"/>
  <c r="D64" i="41"/>
  <c r="C64" i="41"/>
  <c r="T55" i="41"/>
  <c r="Q55" i="41"/>
  <c r="Q56" i="41" s="1"/>
  <c r="P55" i="41"/>
  <c r="Q54" i="41"/>
  <c r="G64" i="41"/>
  <c r="G65" i="41" s="1"/>
  <c r="F63" i="41"/>
  <c r="F65" i="41" s="1"/>
  <c r="E63" i="41"/>
  <c r="I56" i="41"/>
  <c r="S55" i="41"/>
  <c r="S56" i="41" s="1"/>
  <c r="R55" i="41"/>
  <c r="R54" i="41"/>
  <c r="Q51" i="41"/>
  <c r="P51" i="41"/>
  <c r="M51" i="41"/>
  <c r="L51" i="41"/>
  <c r="K51" i="41"/>
  <c r="S50" i="41"/>
  <c r="R50" i="41"/>
  <c r="S49" i="41"/>
  <c r="S48" i="41"/>
  <c r="G48" i="41"/>
  <c r="R48" i="41" s="1"/>
  <c r="S47" i="41"/>
  <c r="G47" i="41"/>
  <c r="R47" i="41" s="1"/>
  <c r="S46" i="41"/>
  <c r="R46" i="41"/>
  <c r="S45" i="41"/>
  <c r="G45" i="41"/>
  <c r="R45" i="41" s="1"/>
  <c r="S44" i="41"/>
  <c r="R44" i="41"/>
  <c r="S43" i="41"/>
  <c r="R43" i="41"/>
  <c r="S42" i="41"/>
  <c r="R42" i="41"/>
  <c r="S41" i="41"/>
  <c r="R41" i="41"/>
  <c r="S40" i="41"/>
  <c r="G40" i="41"/>
  <c r="R40" i="41" s="1"/>
  <c r="S39" i="41"/>
  <c r="R39" i="41"/>
  <c r="S38" i="41"/>
  <c r="G38" i="41"/>
  <c r="R38" i="41" s="1"/>
  <c r="S37" i="41"/>
  <c r="G37" i="41"/>
  <c r="R37" i="41" s="1"/>
  <c r="S36" i="41"/>
  <c r="G36" i="41"/>
  <c r="R36" i="41" s="1"/>
  <c r="S35" i="41"/>
  <c r="G35" i="41"/>
  <c r="R35" i="41" s="1"/>
  <c r="S34" i="41"/>
  <c r="G34" i="41"/>
  <c r="R34" i="41" s="1"/>
  <c r="S33" i="41"/>
  <c r="G33" i="41"/>
  <c r="R33" i="41" s="1"/>
  <c r="S32" i="41"/>
  <c r="G32" i="41"/>
  <c r="R32" i="41" s="1"/>
  <c r="S31" i="41"/>
  <c r="R31" i="41"/>
  <c r="S30" i="41"/>
  <c r="R30" i="41"/>
  <c r="S29" i="41"/>
  <c r="R29" i="41"/>
  <c r="S28" i="41"/>
  <c r="R28" i="41"/>
  <c r="S27" i="41"/>
  <c r="G27" i="41"/>
  <c r="R27" i="41" s="1"/>
  <c r="S26" i="41"/>
  <c r="G26" i="41"/>
  <c r="R26" i="41" s="1"/>
  <c r="T54" i="41" s="1"/>
  <c r="S25" i="41"/>
  <c r="R25" i="41"/>
  <c r="S24" i="41"/>
  <c r="R24" i="41"/>
  <c r="S23" i="41"/>
  <c r="R23" i="41"/>
  <c r="S22" i="41"/>
  <c r="R22" i="41"/>
  <c r="S21" i="41"/>
  <c r="R21" i="41"/>
  <c r="S20" i="41"/>
  <c r="R20" i="41"/>
  <c r="S19" i="41"/>
  <c r="R19" i="41"/>
  <c r="S18" i="41"/>
  <c r="R18" i="41"/>
  <c r="S17" i="41"/>
  <c r="R17" i="41"/>
  <c r="S16" i="41"/>
  <c r="R16" i="41"/>
  <c r="S15" i="41"/>
  <c r="R15" i="41"/>
  <c r="S14" i="41"/>
  <c r="R14" i="41"/>
  <c r="S13" i="41"/>
  <c r="R13" i="41"/>
  <c r="S12" i="41"/>
  <c r="R12" i="41"/>
  <c r="S11" i="41"/>
  <c r="R11" i="41"/>
  <c r="S10" i="41"/>
  <c r="R10" i="41"/>
  <c r="S9" i="41"/>
  <c r="R9" i="41"/>
  <c r="S8" i="41"/>
  <c r="R8" i="41"/>
  <c r="S7" i="41"/>
  <c r="R7" i="41"/>
  <c r="E68" i="40"/>
  <c r="D68" i="40"/>
  <c r="C68" i="40"/>
  <c r="S33" i="40"/>
  <c r="T56" i="40"/>
  <c r="Q56" i="40"/>
  <c r="P56" i="40"/>
  <c r="R33" i="40"/>
  <c r="C62" i="39"/>
  <c r="C61" i="39"/>
  <c r="E67" i="40"/>
  <c r="Q55" i="40"/>
  <c r="S51" i="40"/>
  <c r="S50" i="40"/>
  <c r="G51" i="40"/>
  <c r="R51" i="40" s="1"/>
  <c r="G50" i="40"/>
  <c r="P50" i="46" l="1"/>
  <c r="R51" i="46"/>
  <c r="S9" i="46"/>
  <c r="S26" i="46"/>
  <c r="R26" i="46"/>
  <c r="R27" i="46"/>
  <c r="R32" i="46"/>
  <c r="R33" i="46"/>
  <c r="R34" i="46"/>
  <c r="R35" i="46"/>
  <c r="R36" i="46"/>
  <c r="R43" i="46"/>
  <c r="R8" i="46"/>
  <c r="S8" i="46"/>
  <c r="R38" i="46"/>
  <c r="R41" i="46"/>
  <c r="R44" i="46"/>
  <c r="G46" i="46"/>
  <c r="P45" i="46"/>
  <c r="S45" i="45"/>
  <c r="R11" i="45"/>
  <c r="R15" i="45"/>
  <c r="R19" i="45"/>
  <c r="R23" i="45"/>
  <c r="S7" i="45"/>
  <c r="C64" i="45"/>
  <c r="C66" i="45" s="1"/>
  <c r="S33" i="45"/>
  <c r="R33" i="45"/>
  <c r="S37" i="45"/>
  <c r="R37" i="45"/>
  <c r="S47" i="45"/>
  <c r="R47" i="45"/>
  <c r="R34" i="45"/>
  <c r="S34" i="45"/>
  <c r="S38" i="45"/>
  <c r="R38" i="45"/>
  <c r="R27" i="45"/>
  <c r="S27" i="45"/>
  <c r="S35" i="45"/>
  <c r="R35" i="45"/>
  <c r="R32" i="45"/>
  <c r="S32" i="45"/>
  <c r="S36" i="45"/>
  <c r="R36" i="45"/>
  <c r="P55" i="45"/>
  <c r="P57" i="45" s="1"/>
  <c r="S40" i="45"/>
  <c r="R45" i="45"/>
  <c r="R47" i="44"/>
  <c r="R35" i="44"/>
  <c r="P51" i="44"/>
  <c r="E63" i="44"/>
  <c r="E65" i="44" s="1"/>
  <c r="D63" i="44"/>
  <c r="S45" i="44"/>
  <c r="Q54" i="44"/>
  <c r="Q56" i="44" s="1"/>
  <c r="P54" i="44"/>
  <c r="P56" i="44" s="1"/>
  <c r="I64" i="44"/>
  <c r="R26" i="44"/>
  <c r="T54" i="44" s="1"/>
  <c r="T56" i="44" s="1"/>
  <c r="S51" i="44"/>
  <c r="C63" i="44"/>
  <c r="G51" i="44"/>
  <c r="P54" i="43"/>
  <c r="R56" i="43"/>
  <c r="E65" i="43"/>
  <c r="Q56" i="43"/>
  <c r="D64" i="43"/>
  <c r="H64" i="43" s="1"/>
  <c r="I64" i="43" s="1"/>
  <c r="C65" i="43"/>
  <c r="P56" i="43"/>
  <c r="R26" i="43"/>
  <c r="T54" i="43" s="1"/>
  <c r="R56" i="42"/>
  <c r="T55" i="42"/>
  <c r="Q56" i="42"/>
  <c r="D63" i="42"/>
  <c r="H63" i="42" s="1"/>
  <c r="E65" i="42"/>
  <c r="S51" i="42"/>
  <c r="T54" i="42"/>
  <c r="T56" i="42" s="1"/>
  <c r="R51" i="42"/>
  <c r="D64" i="42"/>
  <c r="C63" i="42"/>
  <c r="G51" i="42"/>
  <c r="P54" i="42"/>
  <c r="P56" i="42" s="1"/>
  <c r="R56" i="41"/>
  <c r="P54" i="41"/>
  <c r="C63" i="41"/>
  <c r="H64" i="41"/>
  <c r="D63" i="41"/>
  <c r="E65" i="41"/>
  <c r="S51" i="41"/>
  <c r="R49" i="41"/>
  <c r="G51" i="41"/>
  <c r="P56" i="41"/>
  <c r="R50" i="40"/>
  <c r="R56" i="40"/>
  <c r="S49" i="40"/>
  <c r="R49" i="40"/>
  <c r="G49" i="40"/>
  <c r="S48" i="40"/>
  <c r="S47" i="40"/>
  <c r="S46" i="40"/>
  <c r="S45" i="40"/>
  <c r="S44" i="40"/>
  <c r="S43" i="40"/>
  <c r="S42" i="40"/>
  <c r="S41" i="40"/>
  <c r="S40" i="40"/>
  <c r="S39" i="40"/>
  <c r="S38" i="40"/>
  <c r="S37" i="40"/>
  <c r="S36" i="40"/>
  <c r="S35" i="40"/>
  <c r="S34" i="40"/>
  <c r="S32" i="40"/>
  <c r="S31" i="40"/>
  <c r="S30" i="40"/>
  <c r="S29" i="40"/>
  <c r="S28" i="40"/>
  <c r="S27" i="40"/>
  <c r="S26" i="40"/>
  <c r="S25" i="40"/>
  <c r="S24" i="40"/>
  <c r="S23" i="40"/>
  <c r="S22" i="40"/>
  <c r="S21" i="40"/>
  <c r="S20" i="40"/>
  <c r="S19" i="40"/>
  <c r="S18" i="40"/>
  <c r="S17" i="40"/>
  <c r="S16" i="40"/>
  <c r="S15" i="40"/>
  <c r="S14" i="40"/>
  <c r="S13" i="40"/>
  <c r="S12" i="40"/>
  <c r="S11" i="40"/>
  <c r="S10" i="40"/>
  <c r="S9" i="40"/>
  <c r="S8" i="40"/>
  <c r="S7" i="40"/>
  <c r="G68" i="40"/>
  <c r="G69" i="40" s="1"/>
  <c r="F67" i="40"/>
  <c r="F69" i="40" s="1"/>
  <c r="I57" i="40"/>
  <c r="S56" i="40"/>
  <c r="S57" i="40" s="1"/>
  <c r="R55" i="40"/>
  <c r="Q52" i="40"/>
  <c r="M52" i="40"/>
  <c r="L52" i="40"/>
  <c r="K52" i="40"/>
  <c r="G48" i="40"/>
  <c r="R47" i="40"/>
  <c r="G46" i="40"/>
  <c r="R46" i="40" s="1"/>
  <c r="R45" i="40"/>
  <c r="R44" i="40"/>
  <c r="R43" i="40"/>
  <c r="R42" i="40"/>
  <c r="G41" i="40"/>
  <c r="R41" i="40" s="1"/>
  <c r="R40" i="40"/>
  <c r="G39" i="40"/>
  <c r="G38" i="40"/>
  <c r="G37" i="40"/>
  <c r="G36" i="40"/>
  <c r="G35" i="40"/>
  <c r="G34" i="40"/>
  <c r="G32" i="40"/>
  <c r="R31" i="40"/>
  <c r="R30" i="40"/>
  <c r="R29" i="40"/>
  <c r="R28" i="40"/>
  <c r="G27" i="40"/>
  <c r="G26" i="40"/>
  <c r="R25" i="40"/>
  <c r="R24" i="40"/>
  <c r="R23" i="40"/>
  <c r="R22" i="40"/>
  <c r="R21" i="40"/>
  <c r="R20" i="40"/>
  <c r="R19" i="40"/>
  <c r="R18" i="40"/>
  <c r="R17" i="40"/>
  <c r="R16" i="40"/>
  <c r="R15" i="40"/>
  <c r="R14" i="40"/>
  <c r="R13" i="40"/>
  <c r="R12" i="40"/>
  <c r="R11" i="40"/>
  <c r="R10" i="40"/>
  <c r="R9" i="40"/>
  <c r="R7" i="40"/>
  <c r="E62" i="39"/>
  <c r="D62" i="39"/>
  <c r="T54" i="39"/>
  <c r="R54" i="39"/>
  <c r="Q54" i="39"/>
  <c r="P54" i="39"/>
  <c r="G62" i="39"/>
  <c r="G63" i="39" s="1"/>
  <c r="F61" i="39"/>
  <c r="F63" i="39" s="1"/>
  <c r="I55" i="39"/>
  <c r="S54" i="39"/>
  <c r="S55" i="39" s="1"/>
  <c r="R53" i="39"/>
  <c r="Q50" i="39"/>
  <c r="M50" i="39"/>
  <c r="L50" i="39"/>
  <c r="K50" i="39"/>
  <c r="G49" i="39"/>
  <c r="P49" i="39" s="1"/>
  <c r="R49" i="39" s="1"/>
  <c r="G48" i="39"/>
  <c r="P48" i="39" s="1"/>
  <c r="R48" i="39" s="1"/>
  <c r="R47" i="39"/>
  <c r="G46" i="39"/>
  <c r="S46" i="39" s="1"/>
  <c r="R45" i="39"/>
  <c r="R44" i="39"/>
  <c r="R43" i="39"/>
  <c r="R42" i="39"/>
  <c r="G41" i="39"/>
  <c r="P41" i="39" s="1"/>
  <c r="R41" i="39" s="1"/>
  <c r="R40" i="39"/>
  <c r="G39" i="39"/>
  <c r="S39" i="39" s="1"/>
  <c r="S38" i="39"/>
  <c r="G38" i="39"/>
  <c r="G37" i="39"/>
  <c r="S37" i="39" s="1"/>
  <c r="G36" i="39"/>
  <c r="S36" i="39" s="1"/>
  <c r="G35" i="39"/>
  <c r="S35" i="39" s="1"/>
  <c r="G34" i="39"/>
  <c r="S34" i="39" s="1"/>
  <c r="R33" i="39"/>
  <c r="G32" i="39"/>
  <c r="S32" i="39" s="1"/>
  <c r="R31" i="39"/>
  <c r="R30" i="39"/>
  <c r="R29" i="39"/>
  <c r="R28" i="39"/>
  <c r="G27" i="39"/>
  <c r="S27" i="39" s="1"/>
  <c r="G26" i="39"/>
  <c r="S26" i="39" s="1"/>
  <c r="R25" i="39"/>
  <c r="R24" i="39"/>
  <c r="R23" i="39"/>
  <c r="R22" i="39"/>
  <c r="R21" i="39"/>
  <c r="R20" i="39"/>
  <c r="R19" i="39"/>
  <c r="R18" i="39"/>
  <c r="R17" i="39"/>
  <c r="R16" i="39"/>
  <c r="R15" i="39"/>
  <c r="R14" i="39"/>
  <c r="R13" i="39"/>
  <c r="R12" i="39"/>
  <c r="R11" i="39"/>
  <c r="R10" i="39"/>
  <c r="S9" i="39"/>
  <c r="P9" i="39"/>
  <c r="R9" i="39" s="1"/>
  <c r="S8" i="39"/>
  <c r="P8" i="39"/>
  <c r="R7" i="39"/>
  <c r="F64" i="38"/>
  <c r="G65" i="38"/>
  <c r="E65" i="38"/>
  <c r="E64" i="38"/>
  <c r="D65" i="38"/>
  <c r="D64" i="38"/>
  <c r="C65" i="38"/>
  <c r="C64" i="38"/>
  <c r="T55" i="38"/>
  <c r="S55" i="38"/>
  <c r="S56" i="38" s="1"/>
  <c r="R55" i="38"/>
  <c r="R54" i="38"/>
  <c r="Q55" i="38"/>
  <c r="P55" i="38"/>
  <c r="G64" i="37"/>
  <c r="F63" i="37"/>
  <c r="F65" i="37" s="1"/>
  <c r="E64" i="37"/>
  <c r="H64" i="37" s="1"/>
  <c r="E63" i="37"/>
  <c r="D64" i="37"/>
  <c r="D63" i="37"/>
  <c r="C64" i="37"/>
  <c r="C63" i="37"/>
  <c r="G66" i="38"/>
  <c r="F66" i="38"/>
  <c r="G65" i="37"/>
  <c r="E65" i="37"/>
  <c r="I56" i="38"/>
  <c r="Q51" i="38"/>
  <c r="M51" i="38"/>
  <c r="L51" i="38"/>
  <c r="K51" i="38"/>
  <c r="G50" i="38"/>
  <c r="P50" i="38" s="1"/>
  <c r="R50" i="38" s="1"/>
  <c r="G49" i="38"/>
  <c r="P49" i="38" s="1"/>
  <c r="R49" i="38" s="1"/>
  <c r="R48" i="38"/>
  <c r="G47" i="38"/>
  <c r="S47" i="38" s="1"/>
  <c r="R46" i="38"/>
  <c r="R45" i="38"/>
  <c r="R44" i="38"/>
  <c r="R43" i="38"/>
  <c r="S42" i="38"/>
  <c r="P42" i="38"/>
  <c r="R42" i="38" s="1"/>
  <c r="G41" i="38"/>
  <c r="S41" i="38" s="1"/>
  <c r="R40" i="38"/>
  <c r="G39" i="38"/>
  <c r="S39" i="38" s="1"/>
  <c r="G38" i="38"/>
  <c r="S38" i="38" s="1"/>
  <c r="G37" i="38"/>
  <c r="G36" i="38"/>
  <c r="G35" i="38"/>
  <c r="S35" i="38" s="1"/>
  <c r="G34" i="38"/>
  <c r="S34" i="38" s="1"/>
  <c r="R33" i="38"/>
  <c r="G32" i="38"/>
  <c r="P32" i="38" s="1"/>
  <c r="R32" i="38" s="1"/>
  <c r="R31" i="38"/>
  <c r="R30" i="38"/>
  <c r="R29" i="38"/>
  <c r="R28" i="38"/>
  <c r="G27" i="38"/>
  <c r="P27" i="38" s="1"/>
  <c r="R27" i="38" s="1"/>
  <c r="G26" i="38"/>
  <c r="P26" i="38" s="1"/>
  <c r="R25" i="38"/>
  <c r="R24" i="38"/>
  <c r="R23" i="38"/>
  <c r="R22" i="38"/>
  <c r="R21" i="38"/>
  <c r="R20" i="38"/>
  <c r="R19" i="38"/>
  <c r="R18" i="38"/>
  <c r="R17" i="38"/>
  <c r="R16" i="38"/>
  <c r="R15" i="38"/>
  <c r="R14" i="38"/>
  <c r="R13" i="38"/>
  <c r="R12" i="38"/>
  <c r="R11" i="38"/>
  <c r="R10" i="38"/>
  <c r="S9" i="38"/>
  <c r="P9" i="38"/>
  <c r="R9" i="38" s="1"/>
  <c r="S8" i="38"/>
  <c r="P8" i="38"/>
  <c r="R7" i="38"/>
  <c r="I58" i="37"/>
  <c r="S57" i="37"/>
  <c r="S58" i="37" s="1"/>
  <c r="R57" i="37"/>
  <c r="P57" i="37"/>
  <c r="R56" i="37"/>
  <c r="R58" i="37" s="1"/>
  <c r="Q53" i="37"/>
  <c r="M53" i="37"/>
  <c r="L53" i="37"/>
  <c r="K53" i="37"/>
  <c r="R52" i="37"/>
  <c r="G51" i="37"/>
  <c r="P50" i="37"/>
  <c r="G50" i="37"/>
  <c r="S50" i="37" s="1"/>
  <c r="R49" i="37"/>
  <c r="G48" i="37"/>
  <c r="S48" i="37" s="1"/>
  <c r="R47" i="37"/>
  <c r="R46" i="37"/>
  <c r="R45" i="37"/>
  <c r="R44" i="37"/>
  <c r="S43" i="37"/>
  <c r="R43" i="37"/>
  <c r="P43" i="37"/>
  <c r="S42" i="37"/>
  <c r="P42" i="37"/>
  <c r="G42" i="37"/>
  <c r="R42" i="37" s="1"/>
  <c r="R41" i="37"/>
  <c r="G40" i="37"/>
  <c r="S40" i="37" s="1"/>
  <c r="G39" i="37"/>
  <c r="S39" i="37" s="1"/>
  <c r="G38" i="37"/>
  <c r="S38" i="37" s="1"/>
  <c r="G37" i="37"/>
  <c r="S37" i="37" s="1"/>
  <c r="G36" i="37"/>
  <c r="S36" i="37" s="1"/>
  <c r="G35" i="37"/>
  <c r="S35" i="37" s="1"/>
  <c r="R34" i="37"/>
  <c r="P33" i="37"/>
  <c r="G33" i="37"/>
  <c r="S33" i="37" s="1"/>
  <c r="R32" i="37"/>
  <c r="R31" i="37"/>
  <c r="R30" i="37"/>
  <c r="R29" i="37"/>
  <c r="G28" i="37"/>
  <c r="G27" i="37"/>
  <c r="S27" i="37" s="1"/>
  <c r="R26" i="37"/>
  <c r="R25" i="37"/>
  <c r="R24" i="37"/>
  <c r="R23" i="37"/>
  <c r="R22" i="37"/>
  <c r="R21" i="37"/>
  <c r="R20" i="37"/>
  <c r="R19" i="37"/>
  <c r="R18" i="37"/>
  <c r="R17" i="37"/>
  <c r="R16" i="37"/>
  <c r="R15" i="37"/>
  <c r="R14" i="37"/>
  <c r="R13" i="37"/>
  <c r="R12" i="37"/>
  <c r="R11" i="37"/>
  <c r="R10" i="37"/>
  <c r="S9" i="37"/>
  <c r="R9" i="37"/>
  <c r="P9" i="37"/>
  <c r="S8" i="37"/>
  <c r="P8" i="37"/>
  <c r="Q57" i="37" s="1"/>
  <c r="R7" i="37"/>
  <c r="S45" i="46" l="1"/>
  <c r="D64" i="46" s="1"/>
  <c r="E64" i="46"/>
  <c r="Q50" i="46"/>
  <c r="P51" i="46"/>
  <c r="S46" i="46"/>
  <c r="H63" i="46"/>
  <c r="I63" i="46" s="1"/>
  <c r="E65" i="46"/>
  <c r="C65" i="46"/>
  <c r="R45" i="46"/>
  <c r="T50" i="46" s="1"/>
  <c r="P46" i="46"/>
  <c r="Q51" i="46"/>
  <c r="I65" i="45"/>
  <c r="R26" i="45"/>
  <c r="E64" i="45"/>
  <c r="E66" i="45" s="1"/>
  <c r="Q55" i="45"/>
  <c r="Q57" i="45" s="1"/>
  <c r="S26" i="45"/>
  <c r="R40" i="45"/>
  <c r="H63" i="44"/>
  <c r="H65" i="44" s="1"/>
  <c r="D65" i="44"/>
  <c r="R51" i="44"/>
  <c r="I63" i="44"/>
  <c r="I65" i="44" s="1"/>
  <c r="C65" i="44"/>
  <c r="T56" i="43"/>
  <c r="D65" i="43"/>
  <c r="H63" i="43"/>
  <c r="H65" i="43" s="1"/>
  <c r="I63" i="42"/>
  <c r="C65" i="42"/>
  <c r="H64" i="42"/>
  <c r="I64" i="42" s="1"/>
  <c r="D65" i="42"/>
  <c r="T56" i="41"/>
  <c r="D65" i="41"/>
  <c r="H63" i="41"/>
  <c r="H65" i="41" s="1"/>
  <c r="I64" i="41"/>
  <c r="C65" i="41"/>
  <c r="R51" i="41"/>
  <c r="P55" i="40"/>
  <c r="C67" i="40"/>
  <c r="D67" i="40"/>
  <c r="R48" i="40"/>
  <c r="P57" i="40"/>
  <c r="R57" i="40"/>
  <c r="R27" i="40"/>
  <c r="R32" i="40"/>
  <c r="R26" i="40"/>
  <c r="R34" i="40"/>
  <c r="R35" i="40"/>
  <c r="R36" i="40"/>
  <c r="R37" i="40"/>
  <c r="R38" i="40"/>
  <c r="R39" i="40"/>
  <c r="R8" i="40"/>
  <c r="G52" i="40"/>
  <c r="S48" i="39"/>
  <c r="S41" i="39"/>
  <c r="S49" i="39"/>
  <c r="R55" i="39"/>
  <c r="D61" i="39"/>
  <c r="P34" i="39"/>
  <c r="R34" i="39" s="1"/>
  <c r="P35" i="39"/>
  <c r="R35" i="39" s="1"/>
  <c r="P36" i="39"/>
  <c r="R36" i="39" s="1"/>
  <c r="P37" i="39"/>
  <c r="R37" i="39" s="1"/>
  <c r="P38" i="39"/>
  <c r="R38" i="39" s="1"/>
  <c r="P39" i="39"/>
  <c r="R39" i="39" s="1"/>
  <c r="P46" i="39"/>
  <c r="R46" i="39" s="1"/>
  <c r="G50" i="39"/>
  <c r="P53" i="39"/>
  <c r="P55" i="39" s="1"/>
  <c r="P26" i="39"/>
  <c r="P27" i="39"/>
  <c r="R27" i="39" s="1"/>
  <c r="P32" i="39"/>
  <c r="R32" i="39" s="1"/>
  <c r="R8" i="39"/>
  <c r="R56" i="38"/>
  <c r="D65" i="37"/>
  <c r="P38" i="38"/>
  <c r="R8" i="38"/>
  <c r="P36" i="38"/>
  <c r="R36" i="38" s="1"/>
  <c r="P34" i="38"/>
  <c r="S49" i="38"/>
  <c r="C66" i="38"/>
  <c r="C65" i="37"/>
  <c r="I64" i="37"/>
  <c r="H63" i="37"/>
  <c r="H65" i="37" s="1"/>
  <c r="S50" i="38"/>
  <c r="P39" i="38"/>
  <c r="R39" i="38" s="1"/>
  <c r="R38" i="38"/>
  <c r="P37" i="38"/>
  <c r="R37" i="38" s="1"/>
  <c r="S37" i="38"/>
  <c r="S36" i="38"/>
  <c r="P35" i="38"/>
  <c r="R35" i="38" s="1"/>
  <c r="R34" i="38"/>
  <c r="R26" i="38"/>
  <c r="P47" i="38"/>
  <c r="R47" i="38" s="1"/>
  <c r="S26" i="38"/>
  <c r="S27" i="38"/>
  <c r="S32" i="38"/>
  <c r="P41" i="38"/>
  <c r="R41" i="38" s="1"/>
  <c r="G51" i="38"/>
  <c r="P54" i="38"/>
  <c r="P56" i="38" s="1"/>
  <c r="S51" i="37"/>
  <c r="P51" i="37"/>
  <c r="R51" i="37" s="1"/>
  <c r="R50" i="37"/>
  <c r="R33" i="37"/>
  <c r="P27" i="37"/>
  <c r="P56" i="37"/>
  <c r="P58" i="37" s="1"/>
  <c r="P28" i="37"/>
  <c r="R28" i="37" s="1"/>
  <c r="S28" i="37"/>
  <c r="S53" i="37" s="1"/>
  <c r="R8" i="37"/>
  <c r="R27" i="37"/>
  <c r="P35" i="37"/>
  <c r="P36" i="37"/>
  <c r="P37" i="37"/>
  <c r="R37" i="37" s="1"/>
  <c r="P38" i="37"/>
  <c r="R38" i="37" s="1"/>
  <c r="P39" i="37"/>
  <c r="R39" i="37" s="1"/>
  <c r="P40" i="37"/>
  <c r="P48" i="37"/>
  <c r="R48" i="37" s="1"/>
  <c r="R35" i="37"/>
  <c r="R36" i="37"/>
  <c r="R40" i="37"/>
  <c r="G53" i="37"/>
  <c r="S45" i="35"/>
  <c r="S7" i="35"/>
  <c r="S8" i="35"/>
  <c r="S9" i="35"/>
  <c r="P59" i="35"/>
  <c r="P47" i="35"/>
  <c r="P48" i="35"/>
  <c r="P49" i="35"/>
  <c r="P46" i="35"/>
  <c r="P45" i="35"/>
  <c r="P9" i="35"/>
  <c r="P8" i="35"/>
  <c r="P7" i="35"/>
  <c r="H64" i="46" l="1"/>
  <c r="I64" i="46" s="1"/>
  <c r="I65" i="46" s="1"/>
  <c r="T51" i="46"/>
  <c r="D65" i="46"/>
  <c r="R46" i="46"/>
  <c r="D64" i="45"/>
  <c r="T55" i="45"/>
  <c r="T57" i="45" s="1"/>
  <c r="I63" i="43"/>
  <c r="I65" i="43" s="1"/>
  <c r="H65" i="42"/>
  <c r="I65" i="42"/>
  <c r="I63" i="41"/>
  <c r="I65" i="41" s="1"/>
  <c r="T55" i="40"/>
  <c r="D69" i="40"/>
  <c r="C69" i="40"/>
  <c r="T57" i="40"/>
  <c r="H68" i="40"/>
  <c r="I68" i="40" s="1"/>
  <c r="E69" i="40"/>
  <c r="Q57" i="40"/>
  <c r="S52" i="40"/>
  <c r="P52" i="40"/>
  <c r="R52" i="40"/>
  <c r="S50" i="39"/>
  <c r="C63" i="39"/>
  <c r="E61" i="39"/>
  <c r="E63" i="39" s="1"/>
  <c r="Q53" i="39"/>
  <c r="Q55" i="39" s="1"/>
  <c r="H62" i="39"/>
  <c r="I62" i="39" s="1"/>
  <c r="D63" i="39"/>
  <c r="H61" i="39"/>
  <c r="P50" i="39"/>
  <c r="R26" i="39"/>
  <c r="T53" i="39" s="1"/>
  <c r="E66" i="38"/>
  <c r="H65" i="38"/>
  <c r="S51" i="38"/>
  <c r="I65" i="38"/>
  <c r="I63" i="37"/>
  <c r="I65" i="37" s="1"/>
  <c r="R51" i="38"/>
  <c r="P51" i="38"/>
  <c r="Q54" i="38"/>
  <c r="Q56" i="38" s="1"/>
  <c r="T54" i="38"/>
  <c r="T56" i="38" s="1"/>
  <c r="P53" i="37"/>
  <c r="Q56" i="37"/>
  <c r="Q58" i="37" s="1"/>
  <c r="T56" i="37"/>
  <c r="R53" i="37"/>
  <c r="T57" i="37"/>
  <c r="Q59" i="35"/>
  <c r="Q63" i="35"/>
  <c r="Q62" i="35"/>
  <c r="I60" i="35"/>
  <c r="S59" i="35"/>
  <c r="S60" i="35" s="1"/>
  <c r="R59" i="35"/>
  <c r="R58" i="35"/>
  <c r="Q55" i="35"/>
  <c r="M55" i="35"/>
  <c r="L55" i="35"/>
  <c r="K55" i="35"/>
  <c r="G53" i="35"/>
  <c r="S53" i="35" s="1"/>
  <c r="G52" i="35"/>
  <c r="S52" i="35" s="1"/>
  <c r="R51" i="35"/>
  <c r="G50" i="35"/>
  <c r="S50" i="35" s="1"/>
  <c r="R49" i="35"/>
  <c r="R48" i="35"/>
  <c r="R47" i="35"/>
  <c r="R46" i="35"/>
  <c r="G44" i="35"/>
  <c r="S44" i="35" s="1"/>
  <c r="R43" i="35"/>
  <c r="G42" i="35"/>
  <c r="S42" i="35" s="1"/>
  <c r="G41" i="35"/>
  <c r="S41" i="35" s="1"/>
  <c r="G40" i="35"/>
  <c r="S40" i="35" s="1"/>
  <c r="G39" i="35"/>
  <c r="S39" i="35" s="1"/>
  <c r="G38" i="35"/>
  <c r="S38" i="35" s="1"/>
  <c r="G37" i="35"/>
  <c r="S37" i="35" s="1"/>
  <c r="G36" i="35"/>
  <c r="S36" i="35" s="1"/>
  <c r="G35" i="35"/>
  <c r="S35" i="35" s="1"/>
  <c r="R34" i="35"/>
  <c r="G33" i="35"/>
  <c r="S33" i="35" s="1"/>
  <c r="R32" i="35"/>
  <c r="R31" i="35"/>
  <c r="R30" i="35"/>
  <c r="R29" i="35"/>
  <c r="G28" i="35"/>
  <c r="S28" i="35" s="1"/>
  <c r="G27" i="35"/>
  <c r="S27" i="35" s="1"/>
  <c r="R26" i="35"/>
  <c r="R25" i="35"/>
  <c r="R24" i="35"/>
  <c r="R23" i="35"/>
  <c r="R22" i="35"/>
  <c r="R21" i="35"/>
  <c r="R20" i="35"/>
  <c r="R19" i="35"/>
  <c r="R18" i="35"/>
  <c r="R17" i="35"/>
  <c r="R16" i="35"/>
  <c r="R15" i="35"/>
  <c r="R14" i="35"/>
  <c r="R13" i="35"/>
  <c r="R12" i="35"/>
  <c r="R11" i="35"/>
  <c r="R10" i="35"/>
  <c r="R9" i="35"/>
  <c r="R8" i="35"/>
  <c r="S63" i="34"/>
  <c r="R64" i="34"/>
  <c r="Q63" i="34"/>
  <c r="Q62" i="34"/>
  <c r="S62" i="34" s="1"/>
  <c r="R59" i="34"/>
  <c r="R58" i="34"/>
  <c r="K55" i="34"/>
  <c r="L55" i="34"/>
  <c r="M55" i="34"/>
  <c r="Q55" i="34"/>
  <c r="G54" i="34"/>
  <c r="S54" i="34" s="1"/>
  <c r="G53" i="34"/>
  <c r="S53" i="34" s="1"/>
  <c r="G52" i="34"/>
  <c r="S52" i="34" s="1"/>
  <c r="R10" i="34"/>
  <c r="R11" i="34"/>
  <c r="R12" i="34"/>
  <c r="R13" i="34"/>
  <c r="R14" i="34"/>
  <c r="R15" i="34"/>
  <c r="R16" i="34"/>
  <c r="R17" i="34"/>
  <c r="R18" i="34"/>
  <c r="R19" i="34"/>
  <c r="R20" i="34"/>
  <c r="R21" i="34"/>
  <c r="R22" i="34"/>
  <c r="R23" i="34"/>
  <c r="R24" i="34"/>
  <c r="R25" i="34"/>
  <c r="R26" i="34"/>
  <c r="R29" i="34"/>
  <c r="R30" i="34"/>
  <c r="R31" i="34"/>
  <c r="R32" i="34"/>
  <c r="R34" i="34"/>
  <c r="R43" i="34"/>
  <c r="R51" i="34"/>
  <c r="G69" i="34"/>
  <c r="G70" i="34" s="1"/>
  <c r="D69" i="34"/>
  <c r="I60" i="34"/>
  <c r="S59" i="34"/>
  <c r="S60" i="34" s="1"/>
  <c r="P59" i="34"/>
  <c r="G50" i="34"/>
  <c r="S49" i="34"/>
  <c r="P49" i="34"/>
  <c r="R49" i="34" s="1"/>
  <c r="S48" i="34"/>
  <c r="P48" i="34"/>
  <c r="R48" i="34" s="1"/>
  <c r="S47" i="34"/>
  <c r="P47" i="34"/>
  <c r="R47" i="34" s="1"/>
  <c r="S46" i="34"/>
  <c r="P46" i="34"/>
  <c r="R46" i="34" s="1"/>
  <c r="S45" i="34"/>
  <c r="P45" i="34"/>
  <c r="R45" i="34" s="1"/>
  <c r="G44" i="34"/>
  <c r="G42" i="34"/>
  <c r="S42" i="34" s="1"/>
  <c r="G41" i="34"/>
  <c r="G40" i="34"/>
  <c r="S40" i="34" s="1"/>
  <c r="G39" i="34"/>
  <c r="G38" i="34"/>
  <c r="S38" i="34" s="1"/>
  <c r="G37" i="34"/>
  <c r="G36" i="34"/>
  <c r="S36" i="34" s="1"/>
  <c r="G35" i="34"/>
  <c r="P35" i="34" s="1"/>
  <c r="G33" i="34"/>
  <c r="S33" i="34" s="1"/>
  <c r="G28" i="34"/>
  <c r="S28" i="34" s="1"/>
  <c r="G27" i="34"/>
  <c r="S9" i="34"/>
  <c r="P9" i="34"/>
  <c r="R9" i="34" s="1"/>
  <c r="S8" i="34"/>
  <c r="P8" i="34"/>
  <c r="R8" i="34" s="1"/>
  <c r="S7" i="34"/>
  <c r="P7" i="34"/>
  <c r="G61" i="33"/>
  <c r="G62" i="33" s="1"/>
  <c r="D61" i="33"/>
  <c r="I57" i="33"/>
  <c r="P56" i="33"/>
  <c r="P57" i="33" s="1"/>
  <c r="N56" i="33"/>
  <c r="P52" i="33"/>
  <c r="Q51" i="33"/>
  <c r="G50" i="33"/>
  <c r="O50" i="33" s="1"/>
  <c r="Q50" i="33" s="1"/>
  <c r="R49" i="33"/>
  <c r="O49" i="33"/>
  <c r="Q49" i="33" s="1"/>
  <c r="R48" i="33"/>
  <c r="O48" i="33"/>
  <c r="Q48" i="33" s="1"/>
  <c r="R47" i="33"/>
  <c r="O47" i="33"/>
  <c r="Q47" i="33" s="1"/>
  <c r="R46" i="33"/>
  <c r="O46" i="33"/>
  <c r="Q46" i="33" s="1"/>
  <c r="R45" i="33"/>
  <c r="O45" i="33"/>
  <c r="Q45" i="33" s="1"/>
  <c r="G44" i="33"/>
  <c r="Q43" i="33"/>
  <c r="G42" i="33"/>
  <c r="O42" i="33" s="1"/>
  <c r="Q42" i="33" s="1"/>
  <c r="G41" i="33"/>
  <c r="O41" i="33" s="1"/>
  <c r="Q41" i="33" s="1"/>
  <c r="G40" i="33"/>
  <c r="O40" i="33" s="1"/>
  <c r="Q40" i="33" s="1"/>
  <c r="G39" i="33"/>
  <c r="O39" i="33" s="1"/>
  <c r="Q39" i="33" s="1"/>
  <c r="G38" i="33"/>
  <c r="O38" i="33" s="1"/>
  <c r="Q38" i="33" s="1"/>
  <c r="G37" i="33"/>
  <c r="O37" i="33" s="1"/>
  <c r="Q37" i="33" s="1"/>
  <c r="G36" i="33"/>
  <c r="O36" i="33" s="1"/>
  <c r="Q36" i="33" s="1"/>
  <c r="G35" i="33"/>
  <c r="O35" i="33" s="1"/>
  <c r="Q35" i="33" s="1"/>
  <c r="Q34" i="33"/>
  <c r="G33" i="33"/>
  <c r="O33" i="33" s="1"/>
  <c r="Q32" i="33"/>
  <c r="Q31" i="33"/>
  <c r="Q30" i="33"/>
  <c r="Q29" i="33"/>
  <c r="G28" i="33"/>
  <c r="G27" i="33"/>
  <c r="Q26" i="33"/>
  <c r="Q25" i="33"/>
  <c r="Q24" i="33"/>
  <c r="Q23" i="33"/>
  <c r="Q22" i="33"/>
  <c r="Q21" i="33"/>
  <c r="Q20" i="33"/>
  <c r="Q19" i="33"/>
  <c r="Q18" i="33"/>
  <c r="Q17" i="33"/>
  <c r="Q16" i="33"/>
  <c r="Q15" i="33"/>
  <c r="Q14" i="33"/>
  <c r="Q13" i="33"/>
  <c r="Q12" i="33"/>
  <c r="Q11" i="33"/>
  <c r="Q10" i="33"/>
  <c r="R9" i="33"/>
  <c r="O9" i="33"/>
  <c r="Q9" i="33" s="1"/>
  <c r="R8" i="33"/>
  <c r="O8" i="33"/>
  <c r="Q8" i="33" s="1"/>
  <c r="R7" i="33"/>
  <c r="O7" i="33"/>
  <c r="Q7" i="33" s="1"/>
  <c r="N56" i="32"/>
  <c r="F61" i="32"/>
  <c r="F62" i="32" s="1"/>
  <c r="C61" i="32"/>
  <c r="I57" i="32"/>
  <c r="P56" i="32"/>
  <c r="P57" i="32" s="1"/>
  <c r="P52" i="32"/>
  <c r="Q51" i="32"/>
  <c r="G50" i="32"/>
  <c r="R50" i="32" s="1"/>
  <c r="R49" i="32"/>
  <c r="O49" i="32"/>
  <c r="Q49" i="32" s="1"/>
  <c r="R48" i="32"/>
  <c r="O48" i="32"/>
  <c r="Q48" i="32" s="1"/>
  <c r="R47" i="32"/>
  <c r="O47" i="32"/>
  <c r="Q47" i="32" s="1"/>
  <c r="R46" i="32"/>
  <c r="O46" i="32"/>
  <c r="Q46" i="32" s="1"/>
  <c r="R45" i="32"/>
  <c r="O45" i="32"/>
  <c r="Q45" i="32" s="1"/>
  <c r="G44" i="32"/>
  <c r="R44" i="32" s="1"/>
  <c r="Q43" i="32"/>
  <c r="G42" i="32"/>
  <c r="R42" i="32" s="1"/>
  <c r="G41" i="32"/>
  <c r="R41" i="32" s="1"/>
  <c r="G40" i="32"/>
  <c r="R40" i="32" s="1"/>
  <c r="G39" i="32"/>
  <c r="R39" i="32" s="1"/>
  <c r="G38" i="32"/>
  <c r="R38" i="32" s="1"/>
  <c r="G37" i="32"/>
  <c r="R37" i="32" s="1"/>
  <c r="G36" i="32"/>
  <c r="R36" i="32" s="1"/>
  <c r="G35" i="32"/>
  <c r="R35" i="32" s="1"/>
  <c r="Q34" i="32"/>
  <c r="G33" i="32"/>
  <c r="R33" i="32" s="1"/>
  <c r="Q32" i="32"/>
  <c r="Q31" i="32"/>
  <c r="Q30" i="32"/>
  <c r="Q29" i="32"/>
  <c r="G28" i="32"/>
  <c r="O28" i="32" s="1"/>
  <c r="G27" i="32"/>
  <c r="Q26" i="32"/>
  <c r="Q25" i="32"/>
  <c r="Q24" i="32"/>
  <c r="Q23" i="32"/>
  <c r="Q22" i="32"/>
  <c r="Q21" i="32"/>
  <c r="Q20" i="32"/>
  <c r="Q19" i="32"/>
  <c r="Q18" i="32"/>
  <c r="Q17" i="32"/>
  <c r="Q16" i="32"/>
  <c r="Q15" i="32"/>
  <c r="Q14" i="32"/>
  <c r="Q13" i="32"/>
  <c r="Q12" i="32"/>
  <c r="Q11" i="32"/>
  <c r="Q10" i="32"/>
  <c r="R9" i="32"/>
  <c r="O9" i="32"/>
  <c r="Q9" i="32" s="1"/>
  <c r="R8" i="32"/>
  <c r="O8" i="32"/>
  <c r="Q8" i="32" s="1"/>
  <c r="R7" i="32"/>
  <c r="O7" i="32"/>
  <c r="Q7" i="32" s="1"/>
  <c r="F61" i="31"/>
  <c r="F62" i="31" s="1"/>
  <c r="C61" i="31"/>
  <c r="F27" i="31"/>
  <c r="F28" i="31"/>
  <c r="Q28" i="31" s="1"/>
  <c r="F33" i="31"/>
  <c r="F35" i="31"/>
  <c r="F36" i="31"/>
  <c r="Q36" i="31" s="1"/>
  <c r="F37" i="31"/>
  <c r="Q37" i="31" s="1"/>
  <c r="F38" i="31"/>
  <c r="N38" i="31" s="1"/>
  <c r="P38" i="31" s="1"/>
  <c r="F39" i="31"/>
  <c r="Q39" i="31" s="1"/>
  <c r="F40" i="31"/>
  <c r="N40" i="31" s="1"/>
  <c r="P40" i="31" s="1"/>
  <c r="F41" i="31"/>
  <c r="Q41" i="31" s="1"/>
  <c r="F42" i="31"/>
  <c r="N42" i="31" s="1"/>
  <c r="P42" i="31" s="1"/>
  <c r="F44" i="31"/>
  <c r="N44" i="31" s="1"/>
  <c r="F50" i="31"/>
  <c r="Q50" i="31" s="1"/>
  <c r="H57" i="31"/>
  <c r="O56" i="31"/>
  <c r="O57" i="31" s="1"/>
  <c r="M56" i="31"/>
  <c r="O52" i="31"/>
  <c r="P51" i="31"/>
  <c r="Q49" i="31"/>
  <c r="N49" i="31"/>
  <c r="P49" i="31" s="1"/>
  <c r="Q48" i="31"/>
  <c r="N48" i="31"/>
  <c r="Q47" i="31"/>
  <c r="N47" i="31"/>
  <c r="P47" i="31" s="1"/>
  <c r="Q46" i="31"/>
  <c r="N46" i="31"/>
  <c r="P46" i="31" s="1"/>
  <c r="Q45" i="31"/>
  <c r="N45" i="31"/>
  <c r="P45" i="31" s="1"/>
  <c r="P43" i="31"/>
  <c r="N37" i="31"/>
  <c r="P37" i="31" s="1"/>
  <c r="P34" i="31"/>
  <c r="Q33" i="31"/>
  <c r="P32" i="31"/>
  <c r="P31" i="31"/>
  <c r="P30" i="31"/>
  <c r="P29" i="31"/>
  <c r="P26" i="31"/>
  <c r="P25" i="31"/>
  <c r="P24" i="31"/>
  <c r="P23" i="31"/>
  <c r="P22" i="31"/>
  <c r="P21" i="31"/>
  <c r="P20" i="31"/>
  <c r="P19" i="31"/>
  <c r="P18" i="31"/>
  <c r="P17" i="31"/>
  <c r="P16" i="31"/>
  <c r="P15" i="31"/>
  <c r="P14" i="31"/>
  <c r="P13" i="31"/>
  <c r="P12" i="31"/>
  <c r="P11" i="31"/>
  <c r="P10" i="31"/>
  <c r="Q9" i="31"/>
  <c r="N9" i="31"/>
  <c r="P9" i="31" s="1"/>
  <c r="Q8" i="31"/>
  <c r="N8" i="31"/>
  <c r="P8" i="31" s="1"/>
  <c r="Q7" i="31"/>
  <c r="N7" i="31"/>
  <c r="P7" i="31" s="1"/>
  <c r="H57" i="30"/>
  <c r="O56" i="30"/>
  <c r="O57" i="30" s="1"/>
  <c r="M56" i="30"/>
  <c r="O52" i="30"/>
  <c r="P51" i="30"/>
  <c r="F50" i="30"/>
  <c r="N50" i="30" s="1"/>
  <c r="P50" i="30" s="1"/>
  <c r="Q49" i="30"/>
  <c r="N49" i="30"/>
  <c r="P49" i="30" s="1"/>
  <c r="Q48" i="30"/>
  <c r="N48" i="30"/>
  <c r="P48" i="30" s="1"/>
  <c r="Q47" i="30"/>
  <c r="N47" i="30"/>
  <c r="P47" i="30" s="1"/>
  <c r="Q46" i="30"/>
  <c r="N46" i="30"/>
  <c r="P46" i="30" s="1"/>
  <c r="Q45" i="30"/>
  <c r="N45" i="30"/>
  <c r="P45" i="30" s="1"/>
  <c r="F44" i="30"/>
  <c r="Q44" i="30" s="1"/>
  <c r="P43" i="30"/>
  <c r="F42" i="30"/>
  <c r="N42" i="30" s="1"/>
  <c r="P42" i="30" s="1"/>
  <c r="F41" i="30"/>
  <c r="N41" i="30" s="1"/>
  <c r="P41" i="30" s="1"/>
  <c r="F40" i="30"/>
  <c r="N40" i="30" s="1"/>
  <c r="P40" i="30" s="1"/>
  <c r="F39" i="30"/>
  <c r="N39" i="30" s="1"/>
  <c r="P39" i="30" s="1"/>
  <c r="F38" i="30"/>
  <c r="N38" i="30" s="1"/>
  <c r="P38" i="30" s="1"/>
  <c r="F37" i="30"/>
  <c r="N37" i="30" s="1"/>
  <c r="P37" i="30" s="1"/>
  <c r="F36" i="30"/>
  <c r="N36" i="30" s="1"/>
  <c r="P36" i="30" s="1"/>
  <c r="F35" i="30"/>
  <c r="N35" i="30" s="1"/>
  <c r="P35" i="30" s="1"/>
  <c r="P34" i="30"/>
  <c r="F33" i="30"/>
  <c r="Q33" i="30" s="1"/>
  <c r="P32" i="30"/>
  <c r="P31" i="30"/>
  <c r="P30" i="30"/>
  <c r="P29" i="30"/>
  <c r="F28" i="30"/>
  <c r="Q28" i="30" s="1"/>
  <c r="F27" i="30"/>
  <c r="Q27" i="30" s="1"/>
  <c r="P26" i="30"/>
  <c r="P25" i="30"/>
  <c r="P24" i="30"/>
  <c r="P23" i="30"/>
  <c r="P22" i="30"/>
  <c r="P21" i="30"/>
  <c r="P20" i="30"/>
  <c r="P19" i="30"/>
  <c r="P18" i="30"/>
  <c r="P17" i="30"/>
  <c r="P16" i="30"/>
  <c r="P15" i="30"/>
  <c r="P14" i="30"/>
  <c r="P13" i="30"/>
  <c r="P12" i="30"/>
  <c r="P11" i="30"/>
  <c r="P10" i="30"/>
  <c r="Q9" i="30"/>
  <c r="N9" i="30"/>
  <c r="P9" i="30" s="1"/>
  <c r="Q8" i="30"/>
  <c r="N8" i="30"/>
  <c r="P8" i="30" s="1"/>
  <c r="Q7" i="30"/>
  <c r="N7" i="30"/>
  <c r="P7" i="30" s="1"/>
  <c r="H65" i="46" l="1"/>
  <c r="D66" i="45"/>
  <c r="H66" i="45"/>
  <c r="H67" i="40"/>
  <c r="H63" i="39"/>
  <c r="T55" i="39"/>
  <c r="R50" i="39"/>
  <c r="I61" i="39"/>
  <c r="I63" i="39" s="1"/>
  <c r="D66" i="38"/>
  <c r="H64" i="38"/>
  <c r="T58" i="37"/>
  <c r="R33" i="33"/>
  <c r="D61" i="31"/>
  <c r="E61" i="33"/>
  <c r="D60" i="33"/>
  <c r="D62" i="33" s="1"/>
  <c r="S64" i="34"/>
  <c r="Q40" i="31"/>
  <c r="R28" i="32"/>
  <c r="C60" i="31"/>
  <c r="C62" i="31" s="1"/>
  <c r="N36" i="31"/>
  <c r="P36" i="31" s="1"/>
  <c r="N41" i="31"/>
  <c r="P41" i="31" s="1"/>
  <c r="N50" i="31"/>
  <c r="P50" i="31" s="1"/>
  <c r="D61" i="32"/>
  <c r="Q64" i="34"/>
  <c r="Q37" i="30"/>
  <c r="Q50" i="30"/>
  <c r="Q56" i="33"/>
  <c r="M55" i="30"/>
  <c r="M57" i="30" s="1"/>
  <c r="E61" i="31"/>
  <c r="G61" i="31" s="1"/>
  <c r="F52" i="30"/>
  <c r="Q35" i="30"/>
  <c r="Q39" i="30"/>
  <c r="Q41" i="30"/>
  <c r="N44" i="30"/>
  <c r="P44" i="30" s="1"/>
  <c r="Q38" i="31"/>
  <c r="Q36" i="30"/>
  <c r="Q38" i="30"/>
  <c r="Q40" i="30"/>
  <c r="Q42" i="30"/>
  <c r="Q27" i="31"/>
  <c r="Q42" i="31"/>
  <c r="F61" i="33"/>
  <c r="H61" i="33" s="1"/>
  <c r="R60" i="35"/>
  <c r="P28" i="35"/>
  <c r="R28" i="35" s="1"/>
  <c r="P44" i="35"/>
  <c r="R44" i="35" s="1"/>
  <c r="P33" i="35"/>
  <c r="R33" i="35" s="1"/>
  <c r="P37" i="35"/>
  <c r="R37" i="35" s="1"/>
  <c r="P41" i="35"/>
  <c r="P52" i="35"/>
  <c r="P36" i="35"/>
  <c r="R36" i="35" s="1"/>
  <c r="P38" i="35"/>
  <c r="R38" i="35" s="1"/>
  <c r="P42" i="35"/>
  <c r="P53" i="35"/>
  <c r="R53" i="35" s="1"/>
  <c r="P40" i="35"/>
  <c r="R40" i="35" s="1"/>
  <c r="P58" i="35"/>
  <c r="P60" i="35" s="1"/>
  <c r="P27" i="35"/>
  <c r="R27" i="35" s="1"/>
  <c r="P35" i="35"/>
  <c r="R35" i="35" s="1"/>
  <c r="P39" i="35"/>
  <c r="R39" i="35" s="1"/>
  <c r="P50" i="35"/>
  <c r="R50" i="35" s="1"/>
  <c r="R42" i="35"/>
  <c r="R41" i="35"/>
  <c r="Q64" i="35"/>
  <c r="R7" i="35"/>
  <c r="R45" i="35"/>
  <c r="R52" i="35"/>
  <c r="R54" i="35"/>
  <c r="G55" i="35"/>
  <c r="R60" i="34"/>
  <c r="G55" i="34"/>
  <c r="P58" i="34"/>
  <c r="P60" i="34" s="1"/>
  <c r="P54" i="34"/>
  <c r="R54" i="34" s="1"/>
  <c r="P53" i="34"/>
  <c r="R53" i="34" s="1"/>
  <c r="P52" i="34"/>
  <c r="R52" i="34" s="1"/>
  <c r="E69" i="34"/>
  <c r="Q59" i="34"/>
  <c r="P37" i="34"/>
  <c r="R37" i="34" s="1"/>
  <c r="P40" i="34"/>
  <c r="R40" i="34" s="1"/>
  <c r="R7" i="34"/>
  <c r="S41" i="34"/>
  <c r="P41" i="34"/>
  <c r="R41" i="34" s="1"/>
  <c r="R35" i="34"/>
  <c r="D68" i="34"/>
  <c r="D70" i="34" s="1"/>
  <c r="P50" i="34"/>
  <c r="R50" i="34" s="1"/>
  <c r="S50" i="34"/>
  <c r="S37" i="34"/>
  <c r="P36" i="34"/>
  <c r="R36" i="34" s="1"/>
  <c r="P39" i="34"/>
  <c r="R39" i="34" s="1"/>
  <c r="F69" i="34"/>
  <c r="S35" i="34"/>
  <c r="P38" i="34"/>
  <c r="R38" i="34" s="1"/>
  <c r="S39" i="34"/>
  <c r="P42" i="34"/>
  <c r="R42" i="34" s="1"/>
  <c r="P27" i="34"/>
  <c r="P28" i="34"/>
  <c r="R28" i="34" s="1"/>
  <c r="P33" i="34"/>
  <c r="R33" i="34" s="1"/>
  <c r="S44" i="34"/>
  <c r="S27" i="34"/>
  <c r="P44" i="34"/>
  <c r="R44" i="34" s="1"/>
  <c r="G52" i="33"/>
  <c r="O44" i="33"/>
  <c r="Q44" i="33" s="1"/>
  <c r="O27" i="33"/>
  <c r="R28" i="33"/>
  <c r="R44" i="33"/>
  <c r="O28" i="33"/>
  <c r="Q28" i="33" s="1"/>
  <c r="R27" i="33"/>
  <c r="Q33" i="33"/>
  <c r="N55" i="33"/>
  <c r="N57" i="33" s="1"/>
  <c r="O56" i="33"/>
  <c r="R35" i="33"/>
  <c r="R36" i="33"/>
  <c r="R37" i="33"/>
  <c r="R38" i="33"/>
  <c r="R39" i="33"/>
  <c r="R40" i="33"/>
  <c r="R41" i="33"/>
  <c r="R42" i="33"/>
  <c r="R50" i="33"/>
  <c r="Q27" i="33"/>
  <c r="E61" i="32"/>
  <c r="G61" i="32" s="1"/>
  <c r="R27" i="32"/>
  <c r="C60" i="32"/>
  <c r="C62" i="32" s="1"/>
  <c r="O27" i="32"/>
  <c r="Q27" i="32" s="1"/>
  <c r="Q28" i="32"/>
  <c r="O33" i="32"/>
  <c r="O36" i="32"/>
  <c r="Q36" i="32" s="1"/>
  <c r="O38" i="32"/>
  <c r="Q38" i="32" s="1"/>
  <c r="O40" i="32"/>
  <c r="Q40" i="32" s="1"/>
  <c r="O42" i="32"/>
  <c r="Q42" i="32" s="1"/>
  <c r="O50" i="32"/>
  <c r="Q50" i="32" s="1"/>
  <c r="O35" i="32"/>
  <c r="Q35" i="32" s="1"/>
  <c r="O37" i="32"/>
  <c r="Q37" i="32" s="1"/>
  <c r="O39" i="32"/>
  <c r="Q39" i="32" s="1"/>
  <c r="O41" i="32"/>
  <c r="Q41" i="32" s="1"/>
  <c r="Q56" i="32"/>
  <c r="G52" i="32"/>
  <c r="O44" i="32"/>
  <c r="Q44" i="32" s="1"/>
  <c r="N55" i="32"/>
  <c r="N57" i="32" s="1"/>
  <c r="O56" i="32"/>
  <c r="F52" i="31"/>
  <c r="N35" i="31"/>
  <c r="P35" i="31" s="1"/>
  <c r="Q44" i="31"/>
  <c r="Q35" i="31"/>
  <c r="N39" i="31"/>
  <c r="P39" i="31" s="1"/>
  <c r="M55" i="31"/>
  <c r="M57" i="31" s="1"/>
  <c r="N56" i="31"/>
  <c r="P44" i="31"/>
  <c r="P48" i="31"/>
  <c r="P56" i="31" s="1"/>
  <c r="N27" i="31"/>
  <c r="N28" i="31"/>
  <c r="P28" i="31" s="1"/>
  <c r="N33" i="31"/>
  <c r="P33" i="31" s="1"/>
  <c r="P56" i="30"/>
  <c r="N27" i="30"/>
  <c r="N28" i="30"/>
  <c r="P28" i="30" s="1"/>
  <c r="N33" i="30"/>
  <c r="P33" i="30" s="1"/>
  <c r="N56" i="30"/>
  <c r="I64" i="45" l="1"/>
  <c r="I66" i="45" s="1"/>
  <c r="H69" i="40"/>
  <c r="I67" i="40"/>
  <c r="I69" i="40" s="1"/>
  <c r="H66" i="38"/>
  <c r="I64" i="38"/>
  <c r="I66" i="38" s="1"/>
  <c r="E60" i="31"/>
  <c r="E62" i="31" s="1"/>
  <c r="E60" i="33"/>
  <c r="E62" i="33" s="1"/>
  <c r="F60" i="33"/>
  <c r="F62" i="33" s="1"/>
  <c r="D60" i="32"/>
  <c r="D62" i="32" s="1"/>
  <c r="Q52" i="30"/>
  <c r="Q52" i="31"/>
  <c r="E60" i="32"/>
  <c r="E62" i="32" s="1"/>
  <c r="R52" i="32"/>
  <c r="O55" i="33"/>
  <c r="D60" i="31"/>
  <c r="S55" i="35"/>
  <c r="T59" i="35"/>
  <c r="Q58" i="35"/>
  <c r="T58" i="35"/>
  <c r="P55" i="35"/>
  <c r="R55" i="35"/>
  <c r="Q60" i="35"/>
  <c r="S55" i="34"/>
  <c r="H69" i="34"/>
  <c r="R27" i="34"/>
  <c r="Q58" i="34"/>
  <c r="Q60" i="34" s="1"/>
  <c r="P55" i="34"/>
  <c r="F68" i="34"/>
  <c r="F70" i="34" s="1"/>
  <c r="E68" i="34"/>
  <c r="T59" i="34"/>
  <c r="Q55" i="33"/>
  <c r="Q57" i="33" s="1"/>
  <c r="R52" i="33"/>
  <c r="O52" i="33"/>
  <c r="Q52" i="33"/>
  <c r="O57" i="33"/>
  <c r="G60" i="32"/>
  <c r="G62" i="32" s="1"/>
  <c r="Q33" i="32"/>
  <c r="Q55" i="32" s="1"/>
  <c r="Q57" i="32" s="1"/>
  <c r="O52" i="32"/>
  <c r="O55" i="32"/>
  <c r="O57" i="32" s="1"/>
  <c r="N52" i="31"/>
  <c r="N55" i="31"/>
  <c r="N57" i="31" s="1"/>
  <c r="P27" i="31"/>
  <c r="N55" i="30"/>
  <c r="N57" i="30" s="1"/>
  <c r="N52" i="30"/>
  <c r="P27" i="30"/>
  <c r="H60" i="33" l="1"/>
  <c r="H62" i="33" s="1"/>
  <c r="G60" i="31"/>
  <c r="G62" i="31" s="1"/>
  <c r="D62" i="31"/>
  <c r="Q52" i="32"/>
  <c r="T60" i="35"/>
  <c r="R55" i="34"/>
  <c r="T58" i="34"/>
  <c r="T60" i="34" s="1"/>
  <c r="H68" i="34"/>
  <c r="H70" i="34" s="1"/>
  <c r="E70" i="34"/>
  <c r="P55" i="31"/>
  <c r="P57" i="31" s="1"/>
  <c r="P52" i="31"/>
  <c r="P55" i="30"/>
  <c r="P57" i="30" s="1"/>
  <c r="P52" i="30"/>
  <c r="F61" i="29"/>
  <c r="F62" i="29" s="1"/>
  <c r="C61" i="29"/>
  <c r="H57" i="29"/>
  <c r="O56" i="29"/>
  <c r="O57" i="29" s="1"/>
  <c r="M56" i="29"/>
  <c r="O52" i="29"/>
  <c r="P51" i="29"/>
  <c r="F50" i="29"/>
  <c r="N50" i="29" s="1"/>
  <c r="Q49" i="29"/>
  <c r="N49" i="29"/>
  <c r="P49" i="29" s="1"/>
  <c r="Q48" i="29"/>
  <c r="N48" i="29"/>
  <c r="Q47" i="29"/>
  <c r="N47" i="29"/>
  <c r="P47" i="29" s="1"/>
  <c r="Q46" i="29"/>
  <c r="N46" i="29"/>
  <c r="P46" i="29" s="1"/>
  <c r="Q45" i="29"/>
  <c r="N45" i="29"/>
  <c r="P45" i="29" s="1"/>
  <c r="N44" i="29"/>
  <c r="P44" i="29" s="1"/>
  <c r="F44" i="29"/>
  <c r="Q44" i="29" s="1"/>
  <c r="P43" i="29"/>
  <c r="F42" i="29"/>
  <c r="N42" i="29" s="1"/>
  <c r="F41" i="29"/>
  <c r="N41" i="29" s="1"/>
  <c r="F40" i="29"/>
  <c r="N40" i="29" s="1"/>
  <c r="F39" i="29"/>
  <c r="N39" i="29" s="1"/>
  <c r="F38" i="29"/>
  <c r="N38" i="29" s="1"/>
  <c r="F37" i="29"/>
  <c r="N37" i="29" s="1"/>
  <c r="F36" i="29"/>
  <c r="N36" i="29" s="1"/>
  <c r="F35" i="29"/>
  <c r="N35" i="29" s="1"/>
  <c r="P34" i="29"/>
  <c r="Q33" i="29"/>
  <c r="F33" i="29"/>
  <c r="P32" i="29"/>
  <c r="P31" i="29"/>
  <c r="P30" i="29"/>
  <c r="P29" i="29"/>
  <c r="F28" i="29"/>
  <c r="Q28" i="29" s="1"/>
  <c r="F27" i="29"/>
  <c r="Q27" i="29" s="1"/>
  <c r="P26" i="29"/>
  <c r="P25" i="29"/>
  <c r="P24" i="29"/>
  <c r="P23" i="29"/>
  <c r="P22" i="29"/>
  <c r="P21" i="29"/>
  <c r="P20" i="29"/>
  <c r="P19" i="29"/>
  <c r="P18" i="29"/>
  <c r="P17" i="29"/>
  <c r="P16" i="29"/>
  <c r="P15" i="29"/>
  <c r="P14" i="29"/>
  <c r="P13" i="29"/>
  <c r="P12" i="29"/>
  <c r="P11" i="29"/>
  <c r="P10" i="29"/>
  <c r="Q9" i="29"/>
  <c r="N9" i="29"/>
  <c r="P9" i="29" s="1"/>
  <c r="Q8" i="29"/>
  <c r="N8" i="29"/>
  <c r="P8" i="29" s="1"/>
  <c r="Q7" i="29"/>
  <c r="N7" i="29"/>
  <c r="P7" i="29" s="1"/>
  <c r="H57" i="28"/>
  <c r="O56" i="28"/>
  <c r="O57" i="28" s="1"/>
  <c r="M56" i="28"/>
  <c r="O52" i="28"/>
  <c r="P51" i="28"/>
  <c r="F50" i="28"/>
  <c r="N50" i="28" s="1"/>
  <c r="Q49" i="28"/>
  <c r="N49" i="28"/>
  <c r="P49" i="28" s="1"/>
  <c r="Q48" i="28"/>
  <c r="N48" i="28"/>
  <c r="P48" i="28" s="1"/>
  <c r="Q47" i="28"/>
  <c r="N47" i="28"/>
  <c r="P47" i="28" s="1"/>
  <c r="Q46" i="28"/>
  <c r="N46" i="28"/>
  <c r="P46" i="28" s="1"/>
  <c r="Q45" i="28"/>
  <c r="N45" i="28"/>
  <c r="P45" i="28" s="1"/>
  <c r="F44" i="28"/>
  <c r="Q44" i="28" s="1"/>
  <c r="P43" i="28"/>
  <c r="F42" i="28"/>
  <c r="Q42" i="28" s="1"/>
  <c r="F41" i="28"/>
  <c r="Q41" i="28" s="1"/>
  <c r="F40" i="28"/>
  <c r="Q40" i="28" s="1"/>
  <c r="F39" i="28"/>
  <c r="Q39" i="28" s="1"/>
  <c r="F38" i="28"/>
  <c r="Q38" i="28" s="1"/>
  <c r="F37" i="28"/>
  <c r="Q37" i="28" s="1"/>
  <c r="F36" i="28"/>
  <c r="Q36" i="28" s="1"/>
  <c r="F35" i="28"/>
  <c r="Q35" i="28" s="1"/>
  <c r="P34" i="28"/>
  <c r="F33" i="28"/>
  <c r="Q33" i="28" s="1"/>
  <c r="P32" i="28"/>
  <c r="P31" i="28"/>
  <c r="P30" i="28"/>
  <c r="P29" i="28"/>
  <c r="F28" i="28"/>
  <c r="Q28" i="28" s="1"/>
  <c r="F27" i="28"/>
  <c r="P26" i="28"/>
  <c r="P25" i="28"/>
  <c r="P24" i="28"/>
  <c r="P23" i="28"/>
  <c r="P22" i="28"/>
  <c r="P21" i="28"/>
  <c r="P20" i="28"/>
  <c r="P19" i="28"/>
  <c r="P18" i="28"/>
  <c r="P17" i="28"/>
  <c r="P16" i="28"/>
  <c r="P15" i="28"/>
  <c r="P14" i="28"/>
  <c r="P13" i="28"/>
  <c r="P12" i="28"/>
  <c r="P11" i="28"/>
  <c r="P10" i="28"/>
  <c r="Q9" i="28"/>
  <c r="N9" i="28"/>
  <c r="P9" i="28" s="1"/>
  <c r="Q8" i="28"/>
  <c r="N8" i="28"/>
  <c r="P8" i="28" s="1"/>
  <c r="Q7" i="28"/>
  <c r="N7" i="28"/>
  <c r="G57" i="27"/>
  <c r="N56" i="27"/>
  <c r="N57" i="27" s="1"/>
  <c r="L56" i="27"/>
  <c r="N52" i="27"/>
  <c r="O51" i="27"/>
  <c r="E50" i="27"/>
  <c r="M50" i="27" s="1"/>
  <c r="P49" i="27"/>
  <c r="M49" i="27"/>
  <c r="O49" i="27" s="1"/>
  <c r="P48" i="27"/>
  <c r="M48" i="27"/>
  <c r="O48" i="27" s="1"/>
  <c r="P47" i="27"/>
  <c r="M47" i="27"/>
  <c r="O47" i="27" s="1"/>
  <c r="P46" i="27"/>
  <c r="M46" i="27"/>
  <c r="O46" i="27" s="1"/>
  <c r="P45" i="27"/>
  <c r="M45" i="27"/>
  <c r="O45" i="27" s="1"/>
  <c r="E44" i="27"/>
  <c r="P44" i="27" s="1"/>
  <c r="O43" i="27"/>
  <c r="E42" i="27"/>
  <c r="E41" i="27"/>
  <c r="P41" i="27" s="1"/>
  <c r="E40" i="27"/>
  <c r="P40" i="27" s="1"/>
  <c r="E39" i="27"/>
  <c r="P39" i="27" s="1"/>
  <c r="E38" i="27"/>
  <c r="E37" i="27"/>
  <c r="P37" i="27" s="1"/>
  <c r="E36" i="27"/>
  <c r="M36" i="27" s="1"/>
  <c r="E35" i="27"/>
  <c r="M35" i="27" s="1"/>
  <c r="O34" i="27"/>
  <c r="E33" i="27"/>
  <c r="O32" i="27"/>
  <c r="O31" i="27"/>
  <c r="O30" i="27"/>
  <c r="O29" i="27"/>
  <c r="E28" i="27"/>
  <c r="M28" i="27" s="1"/>
  <c r="E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P9" i="27"/>
  <c r="M9" i="27"/>
  <c r="O9" i="27" s="1"/>
  <c r="P8" i="27"/>
  <c r="M8" i="27"/>
  <c r="O8" i="27" s="1"/>
  <c r="P7" i="27"/>
  <c r="M7" i="27"/>
  <c r="M37" i="27" l="1"/>
  <c r="M39" i="27"/>
  <c r="D61" i="29"/>
  <c r="G61" i="29" s="1"/>
  <c r="C60" i="29"/>
  <c r="C62" i="29" s="1"/>
  <c r="E61" i="29"/>
  <c r="M40" i="27"/>
  <c r="O40" i="27" s="1"/>
  <c r="P35" i="29"/>
  <c r="P36" i="29"/>
  <c r="P37" i="29"/>
  <c r="P38" i="29"/>
  <c r="P39" i="29"/>
  <c r="P40" i="29"/>
  <c r="P41" i="29"/>
  <c r="P42" i="29"/>
  <c r="P50" i="29"/>
  <c r="M55" i="29"/>
  <c r="M57" i="29" s="1"/>
  <c r="Q35" i="29"/>
  <c r="Q36" i="29"/>
  <c r="Q37" i="29"/>
  <c r="Q38" i="29"/>
  <c r="Q39" i="29"/>
  <c r="Q40" i="29"/>
  <c r="Q41" i="29"/>
  <c r="Q42" i="29"/>
  <c r="N56" i="29"/>
  <c r="Q50" i="29"/>
  <c r="F52" i="29"/>
  <c r="P48" i="29"/>
  <c r="P56" i="29" s="1"/>
  <c r="N27" i="29"/>
  <c r="P27" i="29" s="1"/>
  <c r="N28" i="29"/>
  <c r="P28" i="29" s="1"/>
  <c r="N33" i="29"/>
  <c r="P33" i="29" s="1"/>
  <c r="O36" i="27"/>
  <c r="P36" i="27"/>
  <c r="M56" i="27"/>
  <c r="O37" i="27"/>
  <c r="O39" i="27"/>
  <c r="N28" i="28"/>
  <c r="P28" i="28" s="1"/>
  <c r="N56" i="28"/>
  <c r="F52" i="28"/>
  <c r="N33" i="28"/>
  <c r="P33" i="28" s="1"/>
  <c r="N27" i="28"/>
  <c r="P27" i="28" s="1"/>
  <c r="N36" i="28"/>
  <c r="P36" i="28" s="1"/>
  <c r="N38" i="28"/>
  <c r="P38" i="28" s="1"/>
  <c r="N40" i="28"/>
  <c r="P40" i="28" s="1"/>
  <c r="P7" i="28"/>
  <c r="Q27" i="28"/>
  <c r="N44" i="28"/>
  <c r="P44" i="28" s="1"/>
  <c r="P50" i="28"/>
  <c r="M55" i="28"/>
  <c r="M57" i="28" s="1"/>
  <c r="N35" i="28"/>
  <c r="P35" i="28" s="1"/>
  <c r="N37" i="28"/>
  <c r="P37" i="28" s="1"/>
  <c r="N39" i="28"/>
  <c r="P39" i="28" s="1"/>
  <c r="N41" i="28"/>
  <c r="P41" i="28" s="1"/>
  <c r="N42" i="28"/>
  <c r="P42" i="28" s="1"/>
  <c r="Q50" i="28"/>
  <c r="P42" i="27"/>
  <c r="M42" i="27"/>
  <c r="O42" i="27" s="1"/>
  <c r="M41" i="27"/>
  <c r="O41" i="27" s="1"/>
  <c r="E52" i="27"/>
  <c r="M38" i="27"/>
  <c r="O38" i="27" s="1"/>
  <c r="P38" i="27"/>
  <c r="O35" i="27"/>
  <c r="P35" i="27"/>
  <c r="O28" i="27"/>
  <c r="O7" i="27"/>
  <c r="P27" i="27"/>
  <c r="P28" i="27"/>
  <c r="P33" i="27"/>
  <c r="M44" i="27"/>
  <c r="O44" i="27" s="1"/>
  <c r="O50" i="27"/>
  <c r="L55" i="27"/>
  <c r="L57" i="27" s="1"/>
  <c r="P50" i="27"/>
  <c r="M27" i="27"/>
  <c r="M33" i="27"/>
  <c r="O33" i="27" s="1"/>
  <c r="F61" i="26"/>
  <c r="F62" i="26" s="1"/>
  <c r="C61" i="26"/>
  <c r="H57" i="26"/>
  <c r="M56" i="26"/>
  <c r="O52" i="26"/>
  <c r="P51" i="26"/>
  <c r="F50" i="26"/>
  <c r="N50" i="26" s="1"/>
  <c r="Q49" i="26"/>
  <c r="N49" i="26"/>
  <c r="P49" i="26" s="1"/>
  <c r="Q48" i="26"/>
  <c r="N48" i="26"/>
  <c r="P48" i="26" s="1"/>
  <c r="Q47" i="26"/>
  <c r="N47" i="26"/>
  <c r="P47" i="26" s="1"/>
  <c r="Q46" i="26"/>
  <c r="N46" i="26"/>
  <c r="P46" i="26" s="1"/>
  <c r="Q45" i="26"/>
  <c r="N45" i="26"/>
  <c r="P45" i="26" s="1"/>
  <c r="F44" i="26"/>
  <c r="Q44" i="26" s="1"/>
  <c r="P43" i="26"/>
  <c r="F42" i="26"/>
  <c r="N42" i="26" s="1"/>
  <c r="F41" i="26"/>
  <c r="N41" i="26" s="1"/>
  <c r="F40" i="26"/>
  <c r="N40" i="26" s="1"/>
  <c r="F39" i="26"/>
  <c r="N39" i="26" s="1"/>
  <c r="F38" i="26"/>
  <c r="N38" i="26" s="1"/>
  <c r="F37" i="26"/>
  <c r="N37" i="26" s="1"/>
  <c r="F36" i="26"/>
  <c r="N36" i="26" s="1"/>
  <c r="F35" i="26"/>
  <c r="N35" i="26" s="1"/>
  <c r="P34" i="26"/>
  <c r="F33" i="26"/>
  <c r="P32" i="26"/>
  <c r="P31" i="26"/>
  <c r="P30" i="26"/>
  <c r="P29" i="26"/>
  <c r="F28" i="26"/>
  <c r="F27" i="26"/>
  <c r="P26" i="26"/>
  <c r="P25" i="26"/>
  <c r="P24" i="26"/>
  <c r="P23" i="26"/>
  <c r="P22" i="26"/>
  <c r="P21" i="26"/>
  <c r="P20" i="26"/>
  <c r="P19" i="26"/>
  <c r="P18" i="26"/>
  <c r="P17" i="26"/>
  <c r="P16" i="26"/>
  <c r="P15" i="26"/>
  <c r="P14" i="26"/>
  <c r="P13" i="26"/>
  <c r="P12" i="26"/>
  <c r="P11" i="26"/>
  <c r="P10" i="26"/>
  <c r="Q9" i="26"/>
  <c r="N9" i="26"/>
  <c r="P9" i="26" s="1"/>
  <c r="Q8" i="26"/>
  <c r="N8" i="26"/>
  <c r="P8" i="26" s="1"/>
  <c r="Q7" i="26"/>
  <c r="N7" i="26"/>
  <c r="P7" i="26" s="1"/>
  <c r="F60" i="25"/>
  <c r="F61" i="25" s="1"/>
  <c r="C60" i="25"/>
  <c r="H56" i="25"/>
  <c r="M55" i="25"/>
  <c r="O51" i="25"/>
  <c r="F50" i="25"/>
  <c r="Q50" i="25" s="1"/>
  <c r="Q49" i="25"/>
  <c r="P49" i="25"/>
  <c r="Q48" i="25"/>
  <c r="N48" i="25"/>
  <c r="P48" i="25" s="1"/>
  <c r="Q47" i="25"/>
  <c r="N47" i="25"/>
  <c r="P47" i="25" s="1"/>
  <c r="Q46" i="25"/>
  <c r="N46" i="25"/>
  <c r="P46" i="25" s="1"/>
  <c r="Q45" i="25"/>
  <c r="N45" i="25"/>
  <c r="P45" i="25" s="1"/>
  <c r="F44" i="25"/>
  <c r="P43" i="25"/>
  <c r="F42" i="25"/>
  <c r="Q42" i="25" s="1"/>
  <c r="F41" i="25"/>
  <c r="Q41" i="25" s="1"/>
  <c r="F40" i="25"/>
  <c r="Q40" i="25" s="1"/>
  <c r="F39" i="25"/>
  <c r="Q39" i="25" s="1"/>
  <c r="F38" i="25"/>
  <c r="Q38" i="25" s="1"/>
  <c r="F37" i="25"/>
  <c r="Q37" i="25" s="1"/>
  <c r="F36" i="25"/>
  <c r="Q36" i="25" s="1"/>
  <c r="F35" i="25"/>
  <c r="Q35" i="25" s="1"/>
  <c r="P34" i="25"/>
  <c r="F33" i="25"/>
  <c r="Q33" i="25" s="1"/>
  <c r="P32" i="25"/>
  <c r="P31" i="25"/>
  <c r="P30" i="25"/>
  <c r="P29" i="25"/>
  <c r="F28" i="25"/>
  <c r="Q28" i="25" s="1"/>
  <c r="F27" i="25"/>
  <c r="P26" i="25"/>
  <c r="P25" i="25"/>
  <c r="P24" i="25"/>
  <c r="P23" i="25"/>
  <c r="P22" i="25"/>
  <c r="P21" i="25"/>
  <c r="P20" i="25"/>
  <c r="P19" i="25"/>
  <c r="P18" i="25"/>
  <c r="P17" i="25"/>
  <c r="P16" i="25"/>
  <c r="P15" i="25"/>
  <c r="P14" i="25"/>
  <c r="P13" i="25"/>
  <c r="P12" i="25"/>
  <c r="P11" i="25"/>
  <c r="P10" i="25"/>
  <c r="Q9" i="25"/>
  <c r="N9" i="25"/>
  <c r="P9" i="25" s="1"/>
  <c r="Q8" i="25"/>
  <c r="N8" i="25"/>
  <c r="P8" i="25" s="1"/>
  <c r="Q7" i="25"/>
  <c r="N7" i="25"/>
  <c r="P7" i="25" s="1"/>
  <c r="F61" i="24"/>
  <c r="C61" i="24"/>
  <c r="H57" i="24"/>
  <c r="O52" i="24"/>
  <c r="F51" i="24"/>
  <c r="Q51" i="24" s="1"/>
  <c r="F50" i="24"/>
  <c r="Q50" i="24" s="1"/>
  <c r="Q49" i="24"/>
  <c r="P49" i="24"/>
  <c r="Q48" i="24"/>
  <c r="N48" i="24"/>
  <c r="P48" i="24" s="1"/>
  <c r="Q47" i="24"/>
  <c r="N47" i="24"/>
  <c r="P47" i="24" s="1"/>
  <c r="Q46" i="24"/>
  <c r="N46" i="24"/>
  <c r="P46" i="24" s="1"/>
  <c r="Q45" i="24"/>
  <c r="N45" i="24"/>
  <c r="P45" i="24" s="1"/>
  <c r="F44" i="24"/>
  <c r="N44" i="24" s="1"/>
  <c r="P44" i="24" s="1"/>
  <c r="P43" i="24"/>
  <c r="F42" i="24"/>
  <c r="Q42" i="24" s="1"/>
  <c r="F41" i="24"/>
  <c r="Q41" i="24" s="1"/>
  <c r="F40" i="24"/>
  <c r="Q40" i="24" s="1"/>
  <c r="F39" i="24"/>
  <c r="Q39" i="24" s="1"/>
  <c r="F38" i="24"/>
  <c r="Q38" i="24" s="1"/>
  <c r="F37" i="24"/>
  <c r="Q37" i="24" s="1"/>
  <c r="F36" i="24"/>
  <c r="Q36" i="24" s="1"/>
  <c r="F35" i="24"/>
  <c r="Q35" i="24" s="1"/>
  <c r="P34" i="24"/>
  <c r="F33" i="24"/>
  <c r="Q33" i="24" s="1"/>
  <c r="P32" i="24"/>
  <c r="P31" i="24"/>
  <c r="P30" i="24"/>
  <c r="P29" i="24"/>
  <c r="F28" i="24"/>
  <c r="Q28" i="24" s="1"/>
  <c r="F27" i="24"/>
  <c r="P26" i="24"/>
  <c r="P25" i="24"/>
  <c r="P24" i="24"/>
  <c r="P23" i="24"/>
  <c r="P22" i="24"/>
  <c r="P21" i="24"/>
  <c r="P20" i="24"/>
  <c r="P19" i="24"/>
  <c r="P18" i="24"/>
  <c r="P17" i="24"/>
  <c r="P16" i="24"/>
  <c r="P15" i="24"/>
  <c r="P14" i="24"/>
  <c r="P13" i="24"/>
  <c r="P12" i="24"/>
  <c r="P11" i="24"/>
  <c r="P10" i="24"/>
  <c r="Q9" i="24"/>
  <c r="N9" i="24"/>
  <c r="P9" i="24" s="1"/>
  <c r="Q8" i="24"/>
  <c r="N8" i="24"/>
  <c r="P8" i="24" s="1"/>
  <c r="Q7" i="24"/>
  <c r="N7" i="24"/>
  <c r="P7" i="24" s="1"/>
  <c r="G61" i="23"/>
  <c r="G62" i="23" s="1"/>
  <c r="D61" i="23"/>
  <c r="M62" i="23"/>
  <c r="L62" i="23"/>
  <c r="K62" i="23"/>
  <c r="J62" i="23"/>
  <c r="H57" i="23"/>
  <c r="O52" i="23"/>
  <c r="F51" i="23"/>
  <c r="Q51" i="23" s="1"/>
  <c r="F50" i="23"/>
  <c r="Q50" i="23" s="1"/>
  <c r="Q49" i="23"/>
  <c r="N49" i="23"/>
  <c r="P49" i="23" s="1"/>
  <c r="Q48" i="23"/>
  <c r="N48" i="23"/>
  <c r="P48" i="23" s="1"/>
  <c r="Q47" i="23"/>
  <c r="N47" i="23"/>
  <c r="P47" i="23" s="1"/>
  <c r="Q46" i="23"/>
  <c r="N46" i="23"/>
  <c r="P46" i="23" s="1"/>
  <c r="Q45" i="23"/>
  <c r="N45" i="23"/>
  <c r="P45" i="23" s="1"/>
  <c r="F44" i="23"/>
  <c r="Q44" i="23" s="1"/>
  <c r="P43" i="23"/>
  <c r="F42" i="23"/>
  <c r="N42" i="23" s="1"/>
  <c r="P42" i="23" s="1"/>
  <c r="F41" i="23"/>
  <c r="N41" i="23" s="1"/>
  <c r="P41" i="23" s="1"/>
  <c r="F40" i="23"/>
  <c r="N40" i="23" s="1"/>
  <c r="P40" i="23" s="1"/>
  <c r="F39" i="23"/>
  <c r="N39" i="23" s="1"/>
  <c r="P39" i="23" s="1"/>
  <c r="F38" i="23"/>
  <c r="N38" i="23" s="1"/>
  <c r="P38" i="23" s="1"/>
  <c r="F37" i="23"/>
  <c r="N37" i="23" s="1"/>
  <c r="P37" i="23" s="1"/>
  <c r="F36" i="23"/>
  <c r="N36" i="23" s="1"/>
  <c r="P36" i="23" s="1"/>
  <c r="F35" i="23"/>
  <c r="N35" i="23" s="1"/>
  <c r="P35" i="23" s="1"/>
  <c r="P34" i="23"/>
  <c r="F33" i="23"/>
  <c r="N33" i="23" s="1"/>
  <c r="P33" i="23" s="1"/>
  <c r="P32" i="23"/>
  <c r="P31" i="23"/>
  <c r="P30" i="23"/>
  <c r="P29" i="23"/>
  <c r="F28" i="23"/>
  <c r="Q28" i="23" s="1"/>
  <c r="Q27" i="23"/>
  <c r="N27" i="23"/>
  <c r="P27" i="23" s="1"/>
  <c r="P26" i="23"/>
  <c r="P25" i="23"/>
  <c r="P24" i="23"/>
  <c r="P23" i="23"/>
  <c r="P22" i="23"/>
  <c r="P21" i="23"/>
  <c r="P20" i="23"/>
  <c r="P19" i="23"/>
  <c r="P18" i="23"/>
  <c r="P17" i="23"/>
  <c r="P16" i="23"/>
  <c r="P15" i="23"/>
  <c r="P14" i="23"/>
  <c r="P13" i="23"/>
  <c r="P12" i="23"/>
  <c r="P11" i="23"/>
  <c r="P10" i="23"/>
  <c r="Q9" i="23"/>
  <c r="N9" i="23"/>
  <c r="P9" i="23" s="1"/>
  <c r="Q8" i="23"/>
  <c r="N8" i="23"/>
  <c r="P8" i="23" s="1"/>
  <c r="Q7" i="23"/>
  <c r="N7" i="23"/>
  <c r="G57" i="22"/>
  <c r="N56" i="22"/>
  <c r="N57" i="22" s="1"/>
  <c r="L56" i="22"/>
  <c r="N52" i="22"/>
  <c r="O51" i="22"/>
  <c r="E50" i="22"/>
  <c r="P50" i="22" s="1"/>
  <c r="P49" i="22"/>
  <c r="M49" i="22"/>
  <c r="O49" i="22" s="1"/>
  <c r="P48" i="22"/>
  <c r="M48" i="22"/>
  <c r="O48" i="22" s="1"/>
  <c r="P47" i="22"/>
  <c r="M47" i="22"/>
  <c r="O47" i="22" s="1"/>
  <c r="P46" i="22"/>
  <c r="M46" i="22"/>
  <c r="O46" i="22" s="1"/>
  <c r="P45" i="22"/>
  <c r="M45" i="22"/>
  <c r="O45" i="22" s="1"/>
  <c r="E44" i="22"/>
  <c r="P44" i="22" s="1"/>
  <c r="O43" i="22"/>
  <c r="E42" i="22"/>
  <c r="P42" i="22" s="1"/>
  <c r="E41" i="22"/>
  <c r="P41" i="22" s="1"/>
  <c r="E40" i="22"/>
  <c r="P40" i="22" s="1"/>
  <c r="E39" i="22"/>
  <c r="P39" i="22" s="1"/>
  <c r="E38" i="22"/>
  <c r="P38" i="22" s="1"/>
  <c r="E37" i="22"/>
  <c r="P37" i="22" s="1"/>
  <c r="E36" i="22"/>
  <c r="P36" i="22" s="1"/>
  <c r="E35" i="22"/>
  <c r="P35" i="22" s="1"/>
  <c r="O34" i="22"/>
  <c r="E33" i="22"/>
  <c r="P33" i="22" s="1"/>
  <c r="O32" i="22"/>
  <c r="O31" i="22"/>
  <c r="O30" i="22"/>
  <c r="O29" i="22"/>
  <c r="E28" i="22"/>
  <c r="P28" i="22" s="1"/>
  <c r="E27" i="22"/>
  <c r="M27" i="22" s="1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P9" i="22"/>
  <c r="M9" i="22"/>
  <c r="O9" i="22" s="1"/>
  <c r="P8" i="22"/>
  <c r="M8" i="22"/>
  <c r="O8" i="22" s="1"/>
  <c r="P7" i="22"/>
  <c r="M7" i="22"/>
  <c r="G63" i="21"/>
  <c r="H63" i="21"/>
  <c r="I63" i="21"/>
  <c r="J63" i="21"/>
  <c r="K63" i="21"/>
  <c r="L63" i="21"/>
  <c r="M63" i="21"/>
  <c r="E62" i="21"/>
  <c r="H58" i="21"/>
  <c r="F52" i="21"/>
  <c r="Q52" i="21" s="1"/>
  <c r="F51" i="21"/>
  <c r="Q50" i="21"/>
  <c r="N50" i="21"/>
  <c r="O50" i="21" s="1"/>
  <c r="Q49" i="21"/>
  <c r="N49" i="21"/>
  <c r="O49" i="21" s="1"/>
  <c r="Q48" i="21"/>
  <c r="N48" i="21"/>
  <c r="O48" i="21" s="1"/>
  <c r="Q47" i="21"/>
  <c r="N47" i="21"/>
  <c r="O47" i="21" s="1"/>
  <c r="Q46" i="21"/>
  <c r="N46" i="21"/>
  <c r="O46" i="21" s="1"/>
  <c r="F45" i="21"/>
  <c r="N45" i="21" s="1"/>
  <c r="O45" i="21" s="1"/>
  <c r="O44" i="21"/>
  <c r="F43" i="21"/>
  <c r="N43" i="21" s="1"/>
  <c r="O43" i="21" s="1"/>
  <c r="F42" i="21"/>
  <c r="N42" i="21" s="1"/>
  <c r="F41" i="21"/>
  <c r="Q41" i="21" s="1"/>
  <c r="F40" i="21"/>
  <c r="Q40" i="21" s="1"/>
  <c r="F39" i="21"/>
  <c r="Q39" i="21" s="1"/>
  <c r="F38" i="21"/>
  <c r="F37" i="21"/>
  <c r="N37" i="21" s="1"/>
  <c r="O37" i="21" s="1"/>
  <c r="F36" i="21"/>
  <c r="N36" i="21" s="1"/>
  <c r="O36" i="21" s="1"/>
  <c r="O35" i="21"/>
  <c r="F34" i="21"/>
  <c r="Q34" i="21" s="1"/>
  <c r="O33" i="21"/>
  <c r="O32" i="21"/>
  <c r="O31" i="21"/>
  <c r="O30" i="21"/>
  <c r="F29" i="21"/>
  <c r="N29" i="21" s="1"/>
  <c r="O29" i="21" s="1"/>
  <c r="Q28" i="21"/>
  <c r="N28" i="21"/>
  <c r="O28" i="21" s="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F10" i="21"/>
  <c r="Q9" i="21"/>
  <c r="N9" i="21"/>
  <c r="O9" i="21" s="1"/>
  <c r="Q8" i="21"/>
  <c r="N8" i="21"/>
  <c r="Q7" i="21"/>
  <c r="N7" i="21"/>
  <c r="O7" i="21" s="1"/>
  <c r="E59" i="20"/>
  <c r="M56" i="22" l="1"/>
  <c r="C60" i="26"/>
  <c r="E60" i="29"/>
  <c r="E62" i="29" s="1"/>
  <c r="Q52" i="29"/>
  <c r="N62" i="21"/>
  <c r="E61" i="21"/>
  <c r="E63" i="21" s="1"/>
  <c r="D60" i="29"/>
  <c r="P52" i="29"/>
  <c r="P55" i="29"/>
  <c r="P57" i="29" s="1"/>
  <c r="N55" i="29"/>
  <c r="N57" i="29" s="1"/>
  <c r="N52" i="29"/>
  <c r="P27" i="22"/>
  <c r="P52" i="22" s="1"/>
  <c r="M33" i="22"/>
  <c r="O33" i="22" s="1"/>
  <c r="E61" i="23"/>
  <c r="F62" i="21"/>
  <c r="M28" i="22"/>
  <c r="O28" i="22" s="1"/>
  <c r="D61" i="24"/>
  <c r="Q52" i="28"/>
  <c r="N52" i="28"/>
  <c r="P56" i="28"/>
  <c r="P52" i="28"/>
  <c r="P55" i="28"/>
  <c r="N55" i="28"/>
  <c r="N57" i="28" s="1"/>
  <c r="P52" i="27"/>
  <c r="M55" i="27"/>
  <c r="M57" i="27" s="1"/>
  <c r="M52" i="27"/>
  <c r="O27" i="27"/>
  <c r="O55" i="27" s="1"/>
  <c r="O56" i="27"/>
  <c r="D61" i="26"/>
  <c r="E61" i="26"/>
  <c r="C62" i="26"/>
  <c r="Q39" i="26"/>
  <c r="Q35" i="26"/>
  <c r="Q37" i="26"/>
  <c r="Q41" i="26"/>
  <c r="N44" i="26"/>
  <c r="P44" i="26" s="1"/>
  <c r="Q36" i="26"/>
  <c r="Q38" i="26"/>
  <c r="Q40" i="26"/>
  <c r="Q42" i="26"/>
  <c r="Q50" i="26"/>
  <c r="F52" i="26"/>
  <c r="Q27" i="26"/>
  <c r="Q28" i="26"/>
  <c r="Q33" i="26"/>
  <c r="P35" i="26"/>
  <c r="P36" i="26"/>
  <c r="P37" i="26"/>
  <c r="P38" i="26"/>
  <c r="P39" i="26"/>
  <c r="P40" i="26"/>
  <c r="P41" i="26"/>
  <c r="P42" i="26"/>
  <c r="P50" i="26"/>
  <c r="M55" i="26"/>
  <c r="M57" i="26" s="1"/>
  <c r="N27" i="26"/>
  <c r="P27" i="26" s="1"/>
  <c r="N28" i="26"/>
  <c r="P28" i="26" s="1"/>
  <c r="N33" i="26"/>
  <c r="P33" i="26" s="1"/>
  <c r="C59" i="25"/>
  <c r="D60" i="25"/>
  <c r="E60" i="25"/>
  <c r="N28" i="25"/>
  <c r="P28" i="25" s="1"/>
  <c r="F51" i="25"/>
  <c r="N27" i="25"/>
  <c r="N36" i="25"/>
  <c r="P36" i="25" s="1"/>
  <c r="N38" i="25"/>
  <c r="P38" i="25" s="1"/>
  <c r="N40" i="25"/>
  <c r="P40" i="25" s="1"/>
  <c r="N42" i="25"/>
  <c r="P42" i="25" s="1"/>
  <c r="N33" i="25"/>
  <c r="P33" i="25" s="1"/>
  <c r="N35" i="25"/>
  <c r="N37" i="25"/>
  <c r="N39" i="25"/>
  <c r="N41" i="25"/>
  <c r="P41" i="25" s="1"/>
  <c r="Q44" i="25"/>
  <c r="N50" i="25"/>
  <c r="P50" i="25" s="1"/>
  <c r="M54" i="25"/>
  <c r="M56" i="25" s="1"/>
  <c r="Q27" i="25"/>
  <c r="P35" i="25"/>
  <c r="P37" i="25"/>
  <c r="P39" i="25"/>
  <c r="N44" i="25"/>
  <c r="E61" i="24"/>
  <c r="G61" i="24" s="1"/>
  <c r="C60" i="24"/>
  <c r="C62" i="24" s="1"/>
  <c r="F62" i="24"/>
  <c r="N28" i="24"/>
  <c r="P28" i="24" s="1"/>
  <c r="F52" i="24"/>
  <c r="N50" i="24"/>
  <c r="P50" i="24" s="1"/>
  <c r="N27" i="24"/>
  <c r="P27" i="24" s="1"/>
  <c r="N33" i="24"/>
  <c r="P33" i="24" s="1"/>
  <c r="Q44" i="24"/>
  <c r="N51" i="24"/>
  <c r="P51" i="24" s="1"/>
  <c r="N35" i="24"/>
  <c r="P35" i="24" s="1"/>
  <c r="N36" i="24"/>
  <c r="P36" i="24" s="1"/>
  <c r="N37" i="24"/>
  <c r="P37" i="24" s="1"/>
  <c r="N38" i="24"/>
  <c r="P38" i="24" s="1"/>
  <c r="N39" i="24"/>
  <c r="P39" i="24" s="1"/>
  <c r="N40" i="24"/>
  <c r="P40" i="24" s="1"/>
  <c r="N41" i="24"/>
  <c r="P41" i="24" s="1"/>
  <c r="N42" i="24"/>
  <c r="P42" i="24" s="1"/>
  <c r="Q27" i="24"/>
  <c r="D60" i="24" s="1"/>
  <c r="F61" i="23"/>
  <c r="H61" i="23" s="1"/>
  <c r="D60" i="23"/>
  <c r="D62" i="23" s="1"/>
  <c r="N44" i="23"/>
  <c r="P44" i="23" s="1"/>
  <c r="Q33" i="23"/>
  <c r="N28" i="23"/>
  <c r="P28" i="23" s="1"/>
  <c r="N51" i="23"/>
  <c r="P51" i="23" s="1"/>
  <c r="F52" i="23"/>
  <c r="N50" i="23"/>
  <c r="P50" i="23" s="1"/>
  <c r="P7" i="23"/>
  <c r="Q35" i="23"/>
  <c r="Q36" i="23"/>
  <c r="Q37" i="23"/>
  <c r="Q38" i="23"/>
  <c r="Q39" i="23"/>
  <c r="Q40" i="23"/>
  <c r="Q41" i="23"/>
  <c r="Q42" i="23"/>
  <c r="O27" i="22"/>
  <c r="M35" i="22"/>
  <c r="M36" i="22"/>
  <c r="O36" i="22" s="1"/>
  <c r="M37" i="22"/>
  <c r="O37" i="22" s="1"/>
  <c r="M38" i="22"/>
  <c r="M39" i="22"/>
  <c r="O39" i="22" s="1"/>
  <c r="M40" i="22"/>
  <c r="O40" i="22" s="1"/>
  <c r="M41" i="22"/>
  <c r="O41" i="22" s="1"/>
  <c r="M42" i="22"/>
  <c r="O42" i="22" s="1"/>
  <c r="M50" i="22"/>
  <c r="O50" i="22" s="1"/>
  <c r="E52" i="22"/>
  <c r="O7" i="22"/>
  <c r="M44" i="22"/>
  <c r="O44" i="22" s="1"/>
  <c r="L55" i="22"/>
  <c r="L57" i="22" s="1"/>
  <c r="O62" i="21"/>
  <c r="F53" i="21"/>
  <c r="N10" i="21"/>
  <c r="N40" i="21"/>
  <c r="O40" i="21" s="1"/>
  <c r="N52" i="21"/>
  <c r="O52" i="21" s="1"/>
  <c r="O42" i="21"/>
  <c r="Q36" i="21"/>
  <c r="Q53" i="21" s="1"/>
  <c r="N39" i="21"/>
  <c r="O39" i="21" s="1"/>
  <c r="N41" i="21"/>
  <c r="O41" i="21" s="1"/>
  <c r="O8" i="21"/>
  <c r="N34" i="21"/>
  <c r="N38" i="21"/>
  <c r="O38" i="21" s="1"/>
  <c r="N51" i="21"/>
  <c r="O51" i="21" s="1"/>
  <c r="D62" i="29" l="1"/>
  <c r="G60" i="29"/>
  <c r="G62" i="29" s="1"/>
  <c r="D60" i="26"/>
  <c r="P57" i="28"/>
  <c r="O52" i="27"/>
  <c r="O57" i="27"/>
  <c r="E60" i="26"/>
  <c r="E62" i="26" s="1"/>
  <c r="G61" i="26"/>
  <c r="Q52" i="26"/>
  <c r="P52" i="26"/>
  <c r="N52" i="26"/>
  <c r="D59" i="25"/>
  <c r="E59" i="25"/>
  <c r="E61" i="25" s="1"/>
  <c r="G60" i="25"/>
  <c r="P27" i="25"/>
  <c r="C61" i="25"/>
  <c r="Q51" i="25"/>
  <c r="P44" i="25"/>
  <c r="N51" i="25"/>
  <c r="D62" i="24"/>
  <c r="E60" i="24"/>
  <c r="E62" i="24" s="1"/>
  <c r="Q52" i="24"/>
  <c r="N52" i="24"/>
  <c r="P52" i="24"/>
  <c r="E60" i="23"/>
  <c r="F60" i="23"/>
  <c r="Q52" i="23"/>
  <c r="P52" i="23"/>
  <c r="N52" i="23"/>
  <c r="M55" i="22"/>
  <c r="M57" i="22" s="1"/>
  <c r="M52" i="22"/>
  <c r="O35" i="22"/>
  <c r="O38" i="22"/>
  <c r="O56" i="22"/>
  <c r="N61" i="21"/>
  <c r="N63" i="21" s="1"/>
  <c r="F61" i="21"/>
  <c r="O10" i="21"/>
  <c r="N53" i="21"/>
  <c r="O34" i="21"/>
  <c r="O55" i="22" l="1"/>
  <c r="O61" i="21"/>
  <c r="O63" i="21" s="1"/>
  <c r="F63" i="21"/>
  <c r="G60" i="26"/>
  <c r="G62" i="26" s="1"/>
  <c r="D62" i="26"/>
  <c r="G59" i="25"/>
  <c r="G61" i="25" s="1"/>
  <c r="D61" i="25"/>
  <c r="P51" i="25"/>
  <c r="G60" i="24"/>
  <c r="G62" i="24" s="1"/>
  <c r="H60" i="23"/>
  <c r="E62" i="23"/>
  <c r="F62" i="23"/>
  <c r="O52" i="22"/>
  <c r="O57" i="22"/>
  <c r="O53" i="21"/>
  <c r="F52" i="20" l="1"/>
  <c r="N52" i="20" s="1"/>
  <c r="N51" i="20"/>
  <c r="O51" i="20" s="1"/>
  <c r="N50" i="20"/>
  <c r="O50" i="20" s="1"/>
  <c r="N49" i="20"/>
  <c r="O49" i="20" s="1"/>
  <c r="N48" i="20"/>
  <c r="O48" i="20" s="1"/>
  <c r="N47" i="20"/>
  <c r="O47" i="20" s="1"/>
  <c r="F46" i="20"/>
  <c r="O45" i="20"/>
  <c r="F44" i="20"/>
  <c r="F43" i="20"/>
  <c r="N43" i="20" s="1"/>
  <c r="F42" i="20"/>
  <c r="N42" i="20" s="1"/>
  <c r="O42" i="20" s="1"/>
  <c r="F41" i="20"/>
  <c r="N41" i="20" s="1"/>
  <c r="O41" i="20" s="1"/>
  <c r="F40" i="20"/>
  <c r="N40" i="20" s="1"/>
  <c r="F39" i="20"/>
  <c r="N39" i="20" s="1"/>
  <c r="F38" i="20"/>
  <c r="N38" i="20" s="1"/>
  <c r="O38" i="20" s="1"/>
  <c r="F37" i="20"/>
  <c r="N37" i="20" s="1"/>
  <c r="O37" i="20" s="1"/>
  <c r="O36" i="20"/>
  <c r="F35" i="20"/>
  <c r="N35" i="20" s="1"/>
  <c r="O35" i="20" s="1"/>
  <c r="O34" i="20"/>
  <c r="O33" i="20"/>
  <c r="O32" i="20"/>
  <c r="O31" i="20"/>
  <c r="O30" i="20"/>
  <c r="F29" i="20"/>
  <c r="N29" i="20" s="1"/>
  <c r="O29" i="20" s="1"/>
  <c r="F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N10" i="20"/>
  <c r="O10" i="20" s="1"/>
  <c r="N9" i="20"/>
  <c r="O9" i="20" s="1"/>
  <c r="N8" i="20"/>
  <c r="N7" i="20"/>
  <c r="O8" i="20" l="1"/>
  <c r="F59" i="20"/>
  <c r="E58" i="20"/>
  <c r="E60" i="20" s="1"/>
  <c r="N46" i="20"/>
  <c r="O46" i="20" s="1"/>
  <c r="N28" i="20"/>
  <c r="O28" i="20" s="1"/>
  <c r="N44" i="20"/>
  <c r="O44" i="20" s="1"/>
  <c r="O40" i="20"/>
  <c r="O39" i="20"/>
  <c r="O52" i="20"/>
  <c r="O43" i="20"/>
  <c r="O7" i="20"/>
  <c r="F53" i="20"/>
  <c r="N52" i="19"/>
  <c r="O51" i="19"/>
  <c r="P8" i="19"/>
  <c r="P9" i="19"/>
  <c r="P45" i="19"/>
  <c r="P46" i="19"/>
  <c r="P47" i="19"/>
  <c r="P48" i="19"/>
  <c r="P49" i="19"/>
  <c r="P7" i="19"/>
  <c r="M45" i="19"/>
  <c r="O45" i="19" s="1"/>
  <c r="M46" i="19"/>
  <c r="O46" i="19" s="1"/>
  <c r="M47" i="19"/>
  <c r="O47" i="19" s="1"/>
  <c r="M48" i="19"/>
  <c r="O48" i="19" s="1"/>
  <c r="M49" i="19"/>
  <c r="O49" i="19" s="1"/>
  <c r="M8" i="19"/>
  <c r="O8" i="19" s="1"/>
  <c r="M9" i="19"/>
  <c r="O9" i="19" s="1"/>
  <c r="O11" i="19"/>
  <c r="O12" i="19"/>
  <c r="O15" i="19"/>
  <c r="O17" i="19"/>
  <c r="O19" i="19"/>
  <c r="O21" i="19"/>
  <c r="O23" i="19"/>
  <c r="O24" i="19"/>
  <c r="O30" i="19"/>
  <c r="O31" i="19"/>
  <c r="O32" i="19"/>
  <c r="M7" i="19"/>
  <c r="O7" i="19" s="1"/>
  <c r="G57" i="19"/>
  <c r="N56" i="19"/>
  <c r="N57" i="19" s="1"/>
  <c r="L56" i="19"/>
  <c r="E50" i="19"/>
  <c r="P50" i="19" s="1"/>
  <c r="E44" i="19"/>
  <c r="M44" i="19" s="1"/>
  <c r="O43" i="19"/>
  <c r="E42" i="19"/>
  <c r="M42" i="19" s="1"/>
  <c r="E41" i="19"/>
  <c r="P41" i="19" s="1"/>
  <c r="E40" i="19"/>
  <c r="P40" i="19" s="1"/>
  <c r="E39" i="19"/>
  <c r="M39" i="19" s="1"/>
  <c r="E38" i="19"/>
  <c r="M38" i="19" s="1"/>
  <c r="E37" i="19"/>
  <c r="P37" i="19" s="1"/>
  <c r="E36" i="19"/>
  <c r="P36" i="19" s="1"/>
  <c r="E35" i="19"/>
  <c r="P35" i="19" s="1"/>
  <c r="O34" i="19"/>
  <c r="E33" i="19"/>
  <c r="M33" i="19" s="1"/>
  <c r="O29" i="19"/>
  <c r="E28" i="19"/>
  <c r="M28" i="19" s="1"/>
  <c r="E27" i="19"/>
  <c r="M27" i="19" s="1"/>
  <c r="O26" i="19"/>
  <c r="O25" i="19"/>
  <c r="O22" i="19"/>
  <c r="O20" i="19"/>
  <c r="O18" i="19"/>
  <c r="O16" i="19"/>
  <c r="O14" i="19"/>
  <c r="O13" i="19"/>
  <c r="O10" i="19"/>
  <c r="N55" i="18"/>
  <c r="N56" i="18" s="1"/>
  <c r="L55" i="18"/>
  <c r="G56" i="18"/>
  <c r="N51" i="18"/>
  <c r="E50" i="18"/>
  <c r="P50" i="18" s="1"/>
  <c r="P49" i="18"/>
  <c r="O49" i="18"/>
  <c r="P48" i="18"/>
  <c r="M48" i="18"/>
  <c r="O48" i="18" s="1"/>
  <c r="P47" i="18"/>
  <c r="M47" i="18"/>
  <c r="O47" i="18" s="1"/>
  <c r="P46" i="18"/>
  <c r="M46" i="18"/>
  <c r="O46" i="18" s="1"/>
  <c r="P45" i="18"/>
  <c r="M45" i="18"/>
  <c r="O45" i="18" s="1"/>
  <c r="E44" i="18"/>
  <c r="M44" i="18" s="1"/>
  <c r="O43" i="18"/>
  <c r="E42" i="18"/>
  <c r="M42" i="18" s="1"/>
  <c r="O42" i="18" s="1"/>
  <c r="E41" i="18"/>
  <c r="M41" i="18" s="1"/>
  <c r="O41" i="18" s="1"/>
  <c r="E40" i="18"/>
  <c r="M40" i="18" s="1"/>
  <c r="O40" i="18" s="1"/>
  <c r="E39" i="18"/>
  <c r="M39" i="18" s="1"/>
  <c r="O39" i="18" s="1"/>
  <c r="E38" i="18"/>
  <c r="M38" i="18" s="1"/>
  <c r="O38" i="18" s="1"/>
  <c r="E37" i="18"/>
  <c r="M37" i="18" s="1"/>
  <c r="O37" i="18" s="1"/>
  <c r="E36" i="18"/>
  <c r="M36" i="18" s="1"/>
  <c r="O36" i="18" s="1"/>
  <c r="E35" i="18"/>
  <c r="M35" i="18" s="1"/>
  <c r="O35" i="18" s="1"/>
  <c r="O34" i="18"/>
  <c r="E33" i="18"/>
  <c r="M33" i="18" s="1"/>
  <c r="O32" i="18"/>
  <c r="O31" i="18"/>
  <c r="O30" i="18"/>
  <c r="O29" i="18"/>
  <c r="E28" i="18"/>
  <c r="M28" i="18" s="1"/>
  <c r="E27" i="18"/>
  <c r="M27" i="18" s="1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P9" i="18"/>
  <c r="M9" i="18"/>
  <c r="O9" i="18" s="1"/>
  <c r="P8" i="18"/>
  <c r="M8" i="18"/>
  <c r="O8" i="18" s="1"/>
  <c r="P7" i="18"/>
  <c r="M7" i="18"/>
  <c r="P46" i="17"/>
  <c r="P47" i="17"/>
  <c r="P48" i="17"/>
  <c r="P49" i="17"/>
  <c r="P45" i="17"/>
  <c r="P8" i="17"/>
  <c r="P9" i="17"/>
  <c r="P7" i="17"/>
  <c r="N52" i="17"/>
  <c r="M48" i="17"/>
  <c r="M47" i="17"/>
  <c r="M46" i="17"/>
  <c r="M45" i="17"/>
  <c r="M9" i="17"/>
  <c r="E27" i="17"/>
  <c r="P27" i="17" s="1"/>
  <c r="M27" i="17" l="1"/>
  <c r="O56" i="19"/>
  <c r="E52" i="19"/>
  <c r="P27" i="19"/>
  <c r="M56" i="19"/>
  <c r="M41" i="19"/>
  <c r="F58" i="20"/>
  <c r="F60" i="20" s="1"/>
  <c r="O53" i="20"/>
  <c r="N53" i="20"/>
  <c r="M36" i="19"/>
  <c r="P44" i="19"/>
  <c r="P39" i="19"/>
  <c r="M40" i="19"/>
  <c r="O40" i="19" s="1"/>
  <c r="P38" i="19"/>
  <c r="P42" i="19"/>
  <c r="M50" i="19"/>
  <c r="O50" i="19" s="1"/>
  <c r="M37" i="19"/>
  <c r="O37" i="19" s="1"/>
  <c r="M35" i="19"/>
  <c r="O35" i="19" s="1"/>
  <c r="O33" i="19"/>
  <c r="P33" i="19"/>
  <c r="O28" i="19"/>
  <c r="P28" i="19"/>
  <c r="O44" i="19"/>
  <c r="L55" i="19"/>
  <c r="L57" i="19" s="1"/>
  <c r="O27" i="19"/>
  <c r="O36" i="19"/>
  <c r="O38" i="19"/>
  <c r="O39" i="19"/>
  <c r="O41" i="19"/>
  <c r="O42" i="19"/>
  <c r="M55" i="18"/>
  <c r="L54" i="18"/>
  <c r="L56" i="18" s="1"/>
  <c r="O44" i="18"/>
  <c r="P42" i="18"/>
  <c r="P44" i="18"/>
  <c r="P40" i="18"/>
  <c r="M50" i="18"/>
  <c r="O50" i="18" s="1"/>
  <c r="P41" i="18"/>
  <c r="P39" i="18"/>
  <c r="P38" i="18"/>
  <c r="P37" i="18"/>
  <c r="P36" i="18"/>
  <c r="P35" i="18"/>
  <c r="O7" i="18"/>
  <c r="O55" i="18" s="1"/>
  <c r="O27" i="18"/>
  <c r="O28" i="18"/>
  <c r="O33" i="18"/>
  <c r="P27" i="18"/>
  <c r="P28" i="18"/>
  <c r="P33" i="18"/>
  <c r="E51" i="18"/>
  <c r="M8" i="17"/>
  <c r="O8" i="17" s="1"/>
  <c r="M7" i="17"/>
  <c r="O7" i="17" s="1"/>
  <c r="G57" i="17"/>
  <c r="E51" i="17"/>
  <c r="E50" i="17"/>
  <c r="O49" i="17"/>
  <c r="O48" i="17"/>
  <c r="O47" i="17"/>
  <c r="O46" i="17"/>
  <c r="O45" i="17"/>
  <c r="E44" i="17"/>
  <c r="O43" i="17"/>
  <c r="E42" i="17"/>
  <c r="E41" i="17"/>
  <c r="E40" i="17"/>
  <c r="E39" i="17"/>
  <c r="E38" i="17"/>
  <c r="E37" i="17"/>
  <c r="E36" i="17"/>
  <c r="E35" i="17"/>
  <c r="O34" i="17"/>
  <c r="E33" i="17"/>
  <c r="O32" i="17"/>
  <c r="O31" i="17"/>
  <c r="O30" i="17"/>
  <c r="O29" i="17"/>
  <c r="E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P45" i="16"/>
  <c r="P9" i="16"/>
  <c r="P8" i="16"/>
  <c r="N52" i="16"/>
  <c r="P7" i="16"/>
  <c r="P27" i="16"/>
  <c r="O10" i="16"/>
  <c r="O11" i="16"/>
  <c r="O12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9" i="16"/>
  <c r="O30" i="16"/>
  <c r="O31" i="16"/>
  <c r="O32" i="16"/>
  <c r="O34" i="16"/>
  <c r="O43" i="16"/>
  <c r="O52" i="19" l="1"/>
  <c r="P52" i="19"/>
  <c r="M28" i="17"/>
  <c r="P28" i="17"/>
  <c r="M36" i="17"/>
  <c r="P36" i="17"/>
  <c r="M40" i="17"/>
  <c r="P40" i="17"/>
  <c r="P44" i="17"/>
  <c r="M44" i="17"/>
  <c r="M33" i="17"/>
  <c r="O33" i="17" s="1"/>
  <c r="P33" i="17"/>
  <c r="M37" i="17"/>
  <c r="P37" i="17"/>
  <c r="M41" i="17"/>
  <c r="O41" i="17" s="1"/>
  <c r="P41" i="17"/>
  <c r="M52" i="19"/>
  <c r="P38" i="17"/>
  <c r="M38" i="17"/>
  <c r="O38" i="17" s="1"/>
  <c r="P42" i="17"/>
  <c r="M42" i="17"/>
  <c r="M50" i="17"/>
  <c r="O50" i="17" s="1"/>
  <c r="P50" i="17"/>
  <c r="P35" i="17"/>
  <c r="M35" i="17"/>
  <c r="P39" i="17"/>
  <c r="M39" i="17"/>
  <c r="O39" i="17" s="1"/>
  <c r="M51" i="17"/>
  <c r="O51" i="17" s="1"/>
  <c r="P51" i="17"/>
  <c r="M55" i="19"/>
  <c r="M57" i="19" s="1"/>
  <c r="O55" i="19"/>
  <c r="O57" i="19" s="1"/>
  <c r="M51" i="18"/>
  <c r="M54" i="18"/>
  <c r="M56" i="18" s="1"/>
  <c r="O54" i="18"/>
  <c r="O56" i="18" s="1"/>
  <c r="O51" i="18"/>
  <c r="P51" i="18"/>
  <c r="O42" i="17"/>
  <c r="O40" i="17"/>
  <c r="E52" i="17"/>
  <c r="O37" i="17"/>
  <c r="O36" i="17"/>
  <c r="O35" i="17"/>
  <c r="O44" i="17"/>
  <c r="O28" i="17"/>
  <c r="G57" i="16"/>
  <c r="E51" i="16"/>
  <c r="E50" i="16"/>
  <c r="P49" i="16"/>
  <c r="M49" i="16"/>
  <c r="O49" i="16" s="1"/>
  <c r="P48" i="16"/>
  <c r="M48" i="16"/>
  <c r="O48" i="16" s="1"/>
  <c r="P47" i="16"/>
  <c r="M47" i="16"/>
  <c r="O47" i="16" s="1"/>
  <c r="P46" i="16"/>
  <c r="M46" i="16"/>
  <c r="O46" i="16" s="1"/>
  <c r="M45" i="16"/>
  <c r="O45" i="16" s="1"/>
  <c r="E44" i="16"/>
  <c r="E42" i="16"/>
  <c r="E41" i="16"/>
  <c r="E40" i="16"/>
  <c r="E39" i="16"/>
  <c r="E38" i="16"/>
  <c r="E37" i="16"/>
  <c r="E36" i="16"/>
  <c r="E35" i="16"/>
  <c r="E33" i="16"/>
  <c r="E28" i="16"/>
  <c r="M27" i="16"/>
  <c r="O27" i="16" s="1"/>
  <c r="M9" i="16"/>
  <c r="O9" i="16" s="1"/>
  <c r="M8" i="16"/>
  <c r="O8" i="16" s="1"/>
  <c r="M7" i="16"/>
  <c r="O7" i="16" s="1"/>
  <c r="P7" i="15"/>
  <c r="P8" i="15"/>
  <c r="P9" i="15"/>
  <c r="P28" i="15"/>
  <c r="P46" i="15"/>
  <c r="P47" i="15"/>
  <c r="P48" i="15"/>
  <c r="P49" i="15"/>
  <c r="P50" i="15"/>
  <c r="E10" i="15"/>
  <c r="G58" i="15"/>
  <c r="E52" i="15"/>
  <c r="M52" i="15" s="1"/>
  <c r="N52" i="15" s="1"/>
  <c r="E51" i="15"/>
  <c r="M50" i="15"/>
  <c r="N50" i="15" s="1"/>
  <c r="M49" i="15"/>
  <c r="N49" i="15" s="1"/>
  <c r="M48" i="15"/>
  <c r="N48" i="15" s="1"/>
  <c r="M47" i="15"/>
  <c r="N47" i="15" s="1"/>
  <c r="M46" i="15"/>
  <c r="N46" i="15" s="1"/>
  <c r="E45" i="15"/>
  <c r="N44" i="15"/>
  <c r="E43" i="15"/>
  <c r="M43" i="15" s="1"/>
  <c r="N43" i="15" s="1"/>
  <c r="E42" i="15"/>
  <c r="E41" i="15"/>
  <c r="M41" i="15" s="1"/>
  <c r="E40" i="15"/>
  <c r="P40" i="15" s="1"/>
  <c r="E39" i="15"/>
  <c r="P39" i="15" s="1"/>
  <c r="E38" i="15"/>
  <c r="E37" i="15"/>
  <c r="M37" i="15" s="1"/>
  <c r="E36" i="15"/>
  <c r="M36" i="15" s="1"/>
  <c r="N35" i="15"/>
  <c r="E34" i="15"/>
  <c r="P34" i="15" s="1"/>
  <c r="N33" i="15"/>
  <c r="N32" i="15"/>
  <c r="N31" i="15"/>
  <c r="N30" i="15"/>
  <c r="E29" i="15"/>
  <c r="M28" i="15"/>
  <c r="N28" i="15" s="1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M10" i="15"/>
  <c r="N10" i="15" s="1"/>
  <c r="M9" i="15"/>
  <c r="N9" i="15" s="1"/>
  <c r="M8" i="15"/>
  <c r="N8" i="15" s="1"/>
  <c r="M7" i="15"/>
  <c r="N7" i="15" s="1"/>
  <c r="E52" i="14"/>
  <c r="M51" i="14"/>
  <c r="N51" i="14" s="1"/>
  <c r="M50" i="14"/>
  <c r="N50" i="14" s="1"/>
  <c r="M49" i="14"/>
  <c r="N49" i="14" s="1"/>
  <c r="M48" i="14"/>
  <c r="N48" i="14" s="1"/>
  <c r="M47" i="14"/>
  <c r="N47" i="14" s="1"/>
  <c r="E46" i="14"/>
  <c r="N45" i="14"/>
  <c r="E44" i="14"/>
  <c r="E43" i="14"/>
  <c r="E42" i="14"/>
  <c r="M42" i="14" s="1"/>
  <c r="N42" i="14" s="1"/>
  <c r="M41" i="14"/>
  <c r="N41" i="14" s="1"/>
  <c r="E41" i="14"/>
  <c r="E40" i="14"/>
  <c r="E39" i="14"/>
  <c r="E38" i="14"/>
  <c r="M38" i="14" s="1"/>
  <c r="N38" i="14" s="1"/>
  <c r="E37" i="14"/>
  <c r="M37" i="14" s="1"/>
  <c r="N37" i="14" s="1"/>
  <c r="N36" i="14"/>
  <c r="E35" i="14"/>
  <c r="M35" i="14" s="1"/>
  <c r="N35" i="14" s="1"/>
  <c r="N34" i="14"/>
  <c r="N33" i="14"/>
  <c r="N32" i="14"/>
  <c r="N31" i="14"/>
  <c r="N30" i="14"/>
  <c r="E29" i="14"/>
  <c r="M29" i="14" s="1"/>
  <c r="N29" i="14" s="1"/>
  <c r="E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M10" i="14"/>
  <c r="N10" i="14" s="1"/>
  <c r="M9" i="14"/>
  <c r="N9" i="14" s="1"/>
  <c r="M8" i="14"/>
  <c r="N8" i="14" s="1"/>
  <c r="M7" i="14"/>
  <c r="N7" i="14" s="1"/>
  <c r="E53" i="15" l="1"/>
  <c r="E53" i="14"/>
  <c r="P52" i="15"/>
  <c r="M28" i="14"/>
  <c r="N28" i="14" s="1"/>
  <c r="N53" i="14" s="1"/>
  <c r="M40" i="14"/>
  <c r="N40" i="14" s="1"/>
  <c r="M44" i="14"/>
  <c r="N44" i="14" s="1"/>
  <c r="M46" i="14"/>
  <c r="N46" i="14" s="1"/>
  <c r="P36" i="15"/>
  <c r="M39" i="14"/>
  <c r="N39" i="14" s="1"/>
  <c r="M43" i="14"/>
  <c r="N43" i="14" s="1"/>
  <c r="M52" i="14"/>
  <c r="N52" i="14" s="1"/>
  <c r="P41" i="15"/>
  <c r="P52" i="17"/>
  <c r="O52" i="17"/>
  <c r="M52" i="17"/>
  <c r="E52" i="16"/>
  <c r="P28" i="16"/>
  <c r="P37" i="16"/>
  <c r="M41" i="16"/>
  <c r="O41" i="16" s="1"/>
  <c r="P41" i="16"/>
  <c r="P33" i="16"/>
  <c r="M42" i="16"/>
  <c r="O42" i="16" s="1"/>
  <c r="P42" i="16"/>
  <c r="P50" i="16"/>
  <c r="M35" i="16"/>
  <c r="O35" i="16" s="1"/>
  <c r="P35" i="16"/>
  <c r="M39" i="16"/>
  <c r="O39" i="16" s="1"/>
  <c r="P39" i="16"/>
  <c r="M44" i="16"/>
  <c r="O44" i="16" s="1"/>
  <c r="P44" i="16"/>
  <c r="P51" i="16"/>
  <c r="P38" i="16"/>
  <c r="P36" i="16"/>
  <c r="P40" i="16"/>
  <c r="M38" i="16"/>
  <c r="O38" i="16" s="1"/>
  <c r="M28" i="16"/>
  <c r="O28" i="16" s="1"/>
  <c r="M40" i="16"/>
  <c r="O40" i="16" s="1"/>
  <c r="M36" i="16"/>
  <c r="O36" i="16" s="1"/>
  <c r="M50" i="16"/>
  <c r="O50" i="16" s="1"/>
  <c r="M51" i="16"/>
  <c r="O51" i="16" s="1"/>
  <c r="M33" i="16"/>
  <c r="O33" i="16" s="1"/>
  <c r="M37" i="16"/>
  <c r="O37" i="16" s="1"/>
  <c r="M29" i="15"/>
  <c r="N29" i="15" s="1"/>
  <c r="M34" i="15"/>
  <c r="N34" i="15" s="1"/>
  <c r="M38" i="15"/>
  <c r="N38" i="15" s="1"/>
  <c r="M40" i="15"/>
  <c r="N40" i="15" s="1"/>
  <c r="M42" i="15"/>
  <c r="N42" i="15" s="1"/>
  <c r="N37" i="15"/>
  <c r="N41" i="15"/>
  <c r="M51" i="15"/>
  <c r="N51" i="15" s="1"/>
  <c r="M45" i="15"/>
  <c r="N45" i="15" s="1"/>
  <c r="M39" i="15"/>
  <c r="N39" i="15" s="1"/>
  <c r="N36" i="15"/>
  <c r="P53" i="15" l="1"/>
  <c r="M53" i="14"/>
  <c r="P52" i="16"/>
  <c r="N53" i="15"/>
  <c r="O52" i="16"/>
  <c r="M52" i="16"/>
  <c r="M53" i="15"/>
  <c r="H62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8A96E843-AC29-499E-9B03-32C2D58C5CD9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5" authorId="0" shapeId="0" xr:uid="{489D1C24-B571-480A-9A29-F0D28ABD7D1F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7A0C8C0C-D86B-4940-B863-0E586F0773AA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5" authorId="0" shapeId="0" xr:uid="{6F9EB34D-59AD-4760-96E8-A726F59CF9FB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E3AFFFBA-AEC8-4FB4-91E6-BB91B9DECCBB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3" authorId="0" shapeId="0" xr:uid="{2190E936-A70E-4169-A2BD-25D666CEF9C7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DC1BE424-7E47-41E6-999C-F9554F725A1D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1" authorId="0" shapeId="0" xr:uid="{36E3A1B1-C2CD-4702-8111-E09409F53E3D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C50CE838-D4EA-4A8E-8D2C-14BA13E2A5E7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0" authorId="0" shapeId="0" xr:uid="{4FFB0AFE-F007-4F1D-90A1-4E4AB842E65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7D0A2042-039E-4928-8FD1-1587E9570FF4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2" authorId="0" shapeId="0" xr:uid="{1A195FD3-86DA-4FEA-B318-E5C72655E02B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256DD3A7-0F29-4016-BA43-0301FB20D474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1" authorId="0" shapeId="0" xr:uid="{EEB0237D-D085-4F0C-8659-E345320142C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12A8E1CF-6C8F-4A0F-8387-ED5184D07E0A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  <comment ref="L51" authorId="0" shapeId="0" xr:uid="{4CC76F3F-40B9-4FF7-AD77-BEBAB0ACE74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ไม่ได้รับเงินเป็นเงิน "ค่าเสื้อพนักงาน"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793C13DE-248F-4B1F-8541-DE4D2310569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EC5F906A-5C63-49D8-90DE-7FE1D9001FD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4831DC8F-5BF0-409D-98BE-1989749B832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M6" authorId="0" shapeId="0" xr:uid="{A099E420-D3D3-4D4B-9A77-42ABC2CDF8F7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ค่ายกสินค้า</t>
        </r>
      </text>
    </comment>
  </commentList>
</comments>
</file>

<file path=xl/sharedStrings.xml><?xml version="1.0" encoding="utf-8"?>
<sst xmlns="http://schemas.openxmlformats.org/spreadsheetml/2006/main" count="7253" uniqueCount="260">
  <si>
    <t>บริษัท  กรีนโฮมสมาร์ท จำกัด 22-0003588-8 สาขา 000000</t>
  </si>
  <si>
    <t>ทะเบียนลูกจ้าง ยื่นประกันสังคม</t>
  </si>
  <si>
    <t>ลำดับ</t>
  </si>
  <si>
    <t>ชื่อ/ สกุล</t>
  </si>
  <si>
    <t>เลขที่บัตรประชาชน</t>
  </si>
  <si>
    <t>ตำแหน่ง</t>
  </si>
  <si>
    <t>อัตราเงินเดือน</t>
  </si>
  <si>
    <t>ว/ด/ป/ ที่เริ่มงาน</t>
  </si>
  <si>
    <t>อัตราจ้างรายวัน</t>
  </si>
  <si>
    <t>เงินได้</t>
  </si>
  <si>
    <t>รายการหัก</t>
  </si>
  <si>
    <t>รวมเงินสุทธิ</t>
  </si>
  <si>
    <t>หมายเหตุ</t>
  </si>
  <si>
    <t>วันละ</t>
  </si>
  <si>
    <t>วันทำงาน</t>
  </si>
  <si>
    <t>โอที</t>
  </si>
  <si>
    <t>เบี้ยขยัน</t>
  </si>
  <si>
    <t>ขาดงาน</t>
  </si>
  <si>
    <t>ลางาน</t>
  </si>
  <si>
    <t>พนักงานการเงิน</t>
  </si>
  <si>
    <t>นายกัมพล  อาจสุข</t>
  </si>
  <si>
    <t>1 3612 00122 40 8</t>
  </si>
  <si>
    <t>พนักงานสโตร์</t>
  </si>
  <si>
    <t>นางสาวพัชรินทร์ นวลหงษ์</t>
  </si>
  <si>
    <t>1 3304 00305 07 6</t>
  </si>
  <si>
    <t>นางมะลิ  ผลิพืช</t>
  </si>
  <si>
    <t>3 5011 00282 05 0</t>
  </si>
  <si>
    <t>พนักงานแผนกแม่บ้าน</t>
  </si>
  <si>
    <t>นายจิรภาส สังข์ทอง</t>
  </si>
  <si>
    <t>1 2302 00033 70 7</t>
  </si>
  <si>
    <t>นางสาวทัศนีวรรณ์  ธรรมธร</t>
  </si>
  <si>
    <t>1 2798 00007 69 1</t>
  </si>
  <si>
    <t>พนักงานบัญชี</t>
  </si>
  <si>
    <t>นางสาวเกตุวดี  แก้วเกตุ</t>
  </si>
  <si>
    <t>1 2299 00166 78 3</t>
  </si>
  <si>
    <t>นางสาวดวงกมล  ชนม์ธรรม</t>
  </si>
  <si>
    <t>3 2202 00030 11 9</t>
  </si>
  <si>
    <t>พนักงานขาย</t>
  </si>
  <si>
    <t>นางสาวอมาพร สุภินี</t>
  </si>
  <si>
    <t>1 2297 00004 67 4</t>
  </si>
  <si>
    <t>นางสาวกาญจนา  แพงจะโป๊ะ</t>
  </si>
  <si>
    <t>1 4801 00132 18 3</t>
  </si>
  <si>
    <t>นายวิสุทธ์  พวงบุญชู</t>
  </si>
  <si>
    <t>3 2203 00867 30 4</t>
  </si>
  <si>
    <t>พนักงานขับรถ</t>
  </si>
  <si>
    <t>นายอนุวัฒน์  ทับทิม</t>
  </si>
  <si>
    <t>1 1008 00178 07 3</t>
  </si>
  <si>
    <t>นายทองจันทร์  สายสุนา</t>
  </si>
  <si>
    <t>1 3304 00064 23 1</t>
  </si>
  <si>
    <t>นางสาวสมสุนีย์  สืบวงษ์รุ่ง</t>
  </si>
  <si>
    <t>3 2206 00150 99 5</t>
  </si>
  <si>
    <t>นายอนุชา  สมัครพันธุ์</t>
  </si>
  <si>
    <t>3 2206 00063 12 0</t>
  </si>
  <si>
    <t>นางสาวอวัสดา  กระจ่างสุข</t>
  </si>
  <si>
    <t>1 1014 01444 20 0</t>
  </si>
  <si>
    <t>พนักงานบัญชีลูกหนี้</t>
  </si>
  <si>
    <t>นางสาววราภรณ์  บุญชู</t>
  </si>
  <si>
    <t>3 2206 00051 54 7</t>
  </si>
  <si>
    <t>พนักงานฝ่ายจัดซื้อ</t>
  </si>
  <si>
    <t>นางสาวนุจรี  รักษากิจ</t>
  </si>
  <si>
    <t>นายสมพงศ์  บุญมี</t>
  </si>
  <si>
    <t>1 6698 00026 20 0</t>
  </si>
  <si>
    <t>นายนรินทร์  อดออม</t>
  </si>
  <si>
    <t>3 2507 00359 46 2</t>
  </si>
  <si>
    <t>นายราชา  แก้วมหานิล</t>
  </si>
  <si>
    <t>3 4801 00123 19 9</t>
  </si>
  <si>
    <t>นายสุริยา  เทียมรันต์</t>
  </si>
  <si>
    <t>3 4015 00318 24 9</t>
  </si>
  <si>
    <t>นายยรรยงค์  เนื่องทะบาล</t>
  </si>
  <si>
    <t>3 2504 00588 10 5</t>
  </si>
  <si>
    <t>นายธนกฤต  ภูศรีเทศ</t>
  </si>
  <si>
    <t>3 2206 00129 55 4</t>
  </si>
  <si>
    <t>พนักงานส่งของ</t>
  </si>
  <si>
    <t>นายประสิทธิ์  สายสุนา</t>
  </si>
  <si>
    <t>1 3304 00154 48 5</t>
  </si>
  <si>
    <t>นายสกายแล็บ  นวลสะดี</t>
  </si>
  <si>
    <t>3 4806 00174 42 6</t>
  </si>
  <si>
    <t>นายเรวัต สมัครพันธ์</t>
  </si>
  <si>
    <t>1 2206 00005 82 4</t>
  </si>
  <si>
    <t>พนักงานวางบิล/เก็บเงิน</t>
  </si>
  <si>
    <t>03/01/2561</t>
  </si>
  <si>
    <t>นายกิตติ กลหลัด</t>
  </si>
  <si>
    <t>3 3022 90000 03 7</t>
  </si>
  <si>
    <t>02/05/2561</t>
  </si>
  <si>
    <t>นางสาววริศรา เฟื่องคณะ</t>
  </si>
  <si>
    <t>1 2299 00694 67 4</t>
  </si>
  <si>
    <t>นายมานพ แก้วมหานิล</t>
  </si>
  <si>
    <t>3 4801 00123 21 1</t>
  </si>
  <si>
    <t>01/06/2561</t>
  </si>
  <si>
    <t>Mr.VANNY CHOUB</t>
  </si>
  <si>
    <t>0 0220 41191 14 7</t>
  </si>
  <si>
    <t>นางสาวศุภรดา วรรณวงษ์</t>
  </si>
  <si>
    <t>1 2204 00111 68 0</t>
  </si>
  <si>
    <t>01/08/2561</t>
  </si>
  <si>
    <t>MR.PHEAKDY NGET</t>
  </si>
  <si>
    <t>กรรมกร</t>
  </si>
  <si>
    <t>01/02/2562</t>
  </si>
  <si>
    <t>MR.NOEURT NIM</t>
  </si>
  <si>
    <t>MR.KHON  KHOEUN</t>
  </si>
  <si>
    <t>MR.BOUNH  ANG</t>
  </si>
  <si>
    <t>นายสาโรจน์ ลับแสง</t>
  </si>
  <si>
    <t>02/05/2562</t>
  </si>
  <si>
    <t>MR.MEAS TIN</t>
  </si>
  <si>
    <t>รวมทั้งสิ้น</t>
  </si>
  <si>
    <t>แจ้งออก</t>
  </si>
  <si>
    <t>ลาออก</t>
  </si>
  <si>
    <t>22/05/2563</t>
  </si>
  <si>
    <t>01/04/2563</t>
  </si>
  <si>
    <t>นายอนุพงษ์  รุ่งเรือง</t>
  </si>
  <si>
    <t>1 2299 00526 55 1</t>
  </si>
  <si>
    <t>MR.THIT PHORK</t>
  </si>
  <si>
    <t>03/04/2563</t>
  </si>
  <si>
    <t>MR.NAT YEM</t>
  </si>
  <si>
    <t>MR.KHUM VANN</t>
  </si>
  <si>
    <t>นางสาวกันตา วงค์สาเนา</t>
  </si>
  <si>
    <t>02/11/2563</t>
  </si>
  <si>
    <t>วันที่ 01/01/2564</t>
  </si>
  <si>
    <t>ประจำเดือน มกราคม พ.ศ. 2564</t>
  </si>
  <si>
    <t>นายบรรณศร อุปเวช</t>
  </si>
  <si>
    <t>04/01/2564</t>
  </si>
  <si>
    <t>นายทวี มงคล</t>
  </si>
  <si>
    <t>นายธานินทร์ ท้าวอนนท์</t>
  </si>
  <si>
    <t>นางสาวกิตติธารา จันทร์สังข์</t>
  </si>
  <si>
    <t>นายธิชา สมัครพันธุ์</t>
  </si>
  <si>
    <t>ประกันสังคม 3%</t>
  </si>
  <si>
    <t>แจ้งเข้า 04/01/2564</t>
  </si>
  <si>
    <t>ปรับเงินเดือนเพิ่ม 600 บาท</t>
  </si>
  <si>
    <t>ปรับเงินเดือนเพิ่ม 500 บาท</t>
  </si>
  <si>
    <t>ปรับเงินเดือนเพิ่ม 1,000 บาท</t>
  </si>
  <si>
    <t>ปรับเงินเดือนเพิ่ม 1,300 บาท</t>
  </si>
  <si>
    <t>ปรับเงินเดือนเพิ่ม 1,800 บาท</t>
  </si>
  <si>
    <t>ปรับเงินเดือนเพิ่ม 1,600 บาท</t>
  </si>
  <si>
    <t>ปรับเงินเดือนเพิ่ม 700 บาท</t>
  </si>
  <si>
    <t>ปรับเงินเดือนเพิ่ม 800 บาท</t>
  </si>
  <si>
    <t>ปรับเงินเดือนเพิ่ม 1,200 บาท</t>
  </si>
  <si>
    <t>ประจำเดือน กุมภาพันธ์  พ.ศ. 2564</t>
  </si>
  <si>
    <t>ประกันสังคม 0.5%</t>
  </si>
  <si>
    <t>แจ้งเข้า</t>
  </si>
  <si>
    <t>นายวิบูลย์  พลเยี่ยม</t>
  </si>
  <si>
    <t>01/02/2564</t>
  </si>
  <si>
    <t>รายวัน</t>
  </si>
  <si>
    <t>พนักงานงานรายวัน</t>
  </si>
  <si>
    <t>คน</t>
  </si>
  <si>
    <t>เข้าใหม่</t>
  </si>
  <si>
    <t>พนักงานรายเดือน</t>
  </si>
  <si>
    <t>สรุป</t>
  </si>
  <si>
    <t>ลาออก/รายเดือน</t>
  </si>
  <si>
    <t>รวม</t>
  </si>
  <si>
    <t>แจ้งออก 11/02/64 เงินเดือน 14,600</t>
  </si>
  <si>
    <t>หัก นายจ้าง 3%</t>
  </si>
  <si>
    <t>ค่ากยศ.</t>
  </si>
  <si>
    <t>ประจำเดือน มีนาคม  พ.ศ. 2564</t>
  </si>
  <si>
    <t>ประจำเดือน เมษายน  พ.ศ. 2564</t>
  </si>
  <si>
    <t>ประกันสังคม 5%</t>
  </si>
  <si>
    <t>หัก นายจ้าง 5%</t>
  </si>
  <si>
    <t>ประจำเดือน  พฤษภาคม  พ.ศ. 2564</t>
  </si>
  <si>
    <t xml:space="preserve">แจ้งออก </t>
  </si>
  <si>
    <t>นายธิชา สมัครพันธุ์ 20/04/64</t>
  </si>
  <si>
    <t>เงินเดือน</t>
  </si>
  <si>
    <t>ค่าประกันสังคม</t>
  </si>
  <si>
    <t>ประกันสังคม 2.5%</t>
  </si>
  <si>
    <t>หัก นายจ้าง 2.5%</t>
  </si>
  <si>
    <t>รายเดือน</t>
  </si>
  <si>
    <t>นางสาวLEA  KAEWPRASERT</t>
  </si>
  <si>
    <t>02/06/2564</t>
  </si>
  <si>
    <t>นางสาวLEA  KAEWPRASERT 02/06/2564</t>
  </si>
  <si>
    <t>ประจำเดือน  มิถุนายน  พ.ศ. 2564</t>
  </si>
  <si>
    <t>ฝ่าย</t>
  </si>
  <si>
    <t>ขาย</t>
  </si>
  <si>
    <t>บริหาร</t>
  </si>
  <si>
    <t>ค่าประกันสังคม(นายจ้าง3%)</t>
  </si>
  <si>
    <t>ค่าประกันสังคม(นายจ้าง0.5%)</t>
  </si>
  <si>
    <t>ประกันสังคมค้างจ่าย</t>
  </si>
  <si>
    <t>ประจำเดือน  กรกฎาคม  พ.ศ. 2564</t>
  </si>
  <si>
    <t>ขาย (32)</t>
  </si>
  <si>
    <t>บริหาร  (13)</t>
  </si>
  <si>
    <t>ค่าประกันสังคม(นายจ้าง5%)</t>
  </si>
  <si>
    <t>ค่าประกันสังคม(ลูกจ้าง5%)</t>
  </si>
  <si>
    <t>ขาย (31)</t>
  </si>
  <si>
    <t>บริหาร  (14)</t>
  </si>
  <si>
    <t>ค่าประกันสังคม(นายจ้าง2.5%)</t>
  </si>
  <si>
    <t>ค่าประกันสังคม(ลูกจ้าง2.5%)</t>
  </si>
  <si>
    <t>ปรับเงินเดือน ขึ้น  3,000  บาท</t>
  </si>
  <si>
    <t>ประจำเดือน  สิงหาคม  พ.ศ. 2564</t>
  </si>
  <si>
    <t>ประจำเดือน  กันยายน  พ.ศ. 2564</t>
  </si>
  <si>
    <t>เลขที่บัตรประชาชน (ยื่นประกันสังคม)</t>
  </si>
  <si>
    <t>เลขประจำตัวผู้เสียภาษีอากร(ยื่นภงด.1)</t>
  </si>
  <si>
    <t>นายวิสุทธิ์  พวงบุญชู</t>
  </si>
  <si>
    <t>ประจำเดือน  ตุลาคม  พ.ศ. 2564</t>
  </si>
  <si>
    <t>ประจำเดือน  พฤศจิกายน  พ.ศ. 2564</t>
  </si>
  <si>
    <t>เงินพิเศษ</t>
  </si>
  <si>
    <t>นายลือชา  เรือน้อย</t>
  </si>
  <si>
    <t>นายศุภลักษ์  แก้วมหานิล</t>
  </si>
  <si>
    <t>นายวิเชียร  ธรรมวงค์</t>
  </si>
  <si>
    <t>15/11/2564</t>
  </si>
  <si>
    <t>แจ้งเข้า 15/11/2564</t>
  </si>
  <si>
    <t>นายลือชา เรือน้อย</t>
  </si>
  <si>
    <t>3 2204 00075 72 8</t>
  </si>
  <si>
    <t xml:space="preserve">แจ้งเข้าวันที่ </t>
  </si>
  <si>
    <t>นายศุภลักษ์ แก้วมหานิล</t>
  </si>
  <si>
    <t>1 4999 00366 87 0</t>
  </si>
  <si>
    <t>นายวิเชียร ธรรมวงค์</t>
  </si>
  <si>
    <t>1 6201 00023 04 8</t>
  </si>
  <si>
    <t>พ.ย.64 รายวัน เดือน ธ.ค.64 ปรับเป็นรายเดือน</t>
  </si>
  <si>
    <t>ค่าสวัสดิการพนักงาน</t>
  </si>
  <si>
    <t>สวัสดิการขาย</t>
  </si>
  <si>
    <t>สวัสดิการบริหาร</t>
  </si>
  <si>
    <t>ประจำเดือน  ธันวาคม  พ.ศ. 2564</t>
  </si>
  <si>
    <t>แจ้งออก  30/12/64</t>
  </si>
  <si>
    <t xml:space="preserve">แจ้งออกวันที่ </t>
  </si>
  <si>
    <t>ธ.ค.64 ย้าย เงินเดือน 25,000</t>
  </si>
  <si>
    <t>ปรับชึ้น 1,000 บาท</t>
  </si>
  <si>
    <t>ประจำเดือน  กุมภาพันธ์  พ.ศ. 2565</t>
  </si>
  <si>
    <t>ประจำเดือน  มีนาคม  พ.ศ. 2565</t>
  </si>
  <si>
    <t>บันทึกบัญชี</t>
  </si>
  <si>
    <t>ค่าเงินพิเศษ</t>
  </si>
  <si>
    <t>เงินสด</t>
  </si>
  <si>
    <t>เสียชีวิต  20/02/2565</t>
  </si>
  <si>
    <t>ประจำเดือน เมษายน  พ.ศ. 2565</t>
  </si>
  <si>
    <t>ค่าประกันสังคม(นายจ้าง1%)</t>
  </si>
  <si>
    <t>ค่าประกันสังคม(ลูกจ้าง1%)</t>
  </si>
  <si>
    <t>ประจำเดือน พฤษภาคม พ.ศ. 2565</t>
  </si>
  <si>
    <t>ประกันสังคม 1%</t>
  </si>
  <si>
    <t>หัก นายจ้าง 1%</t>
  </si>
  <si>
    <t>บริหาร  (12)</t>
  </si>
  <si>
    <t>นางสาวนัทพร ม่วงกระโทก</t>
  </si>
  <si>
    <t>นางสาวณัฏฐา  พฤกษาภิรมย์</t>
  </si>
  <si>
    <t>1 2299 00886 04 2</t>
  </si>
  <si>
    <t>1 2297 00081 45 8</t>
  </si>
  <si>
    <t>9/5/2565</t>
  </si>
  <si>
    <t>16/5/2565</t>
  </si>
  <si>
    <t>แจ้งเข้าวันที่</t>
  </si>
  <si>
    <t>ประจำเดือน มิถุนายน พ.ศ. 2565</t>
  </si>
  <si>
    <t>ย้ายเงินเดือน</t>
  </si>
  <si>
    <t>ประจำเดือน กรกฎาคม พ.ศ. 2565</t>
  </si>
  <si>
    <t>ประจำเดือน สิงหาคม พ.ศ. 2565</t>
  </si>
  <si>
    <t>นายอาทิตย์ แก้วประเสริฐ</t>
  </si>
  <si>
    <t>01/08/2565</t>
  </si>
  <si>
    <t>1 2305 00045 81 6</t>
  </si>
  <si>
    <t>ประจำเดือน กันยายน พ.ศ. 2565</t>
  </si>
  <si>
    <t>ประจำเดือน ตุลาคม พ.ศ. 2565</t>
  </si>
  <si>
    <t>นางสาวกัลยาณี  โวหาระวัน</t>
  </si>
  <si>
    <t>1 2299 00585 18 2</t>
  </si>
  <si>
    <t>17/10/2565</t>
  </si>
  <si>
    <t>แจ้งออก 01/11/65</t>
  </si>
  <si>
    <t>แจ้งเข้า 17/10/65</t>
  </si>
  <si>
    <t>ค่าประกันสังคม(ลูกจ้าง3%)</t>
  </si>
  <si>
    <t>**แจ้งออก 1/11/2565</t>
  </si>
  <si>
    <t>พนักงานรายวัน</t>
  </si>
  <si>
    <t>ขาย (27)</t>
  </si>
  <si>
    <t>รวม  (39)</t>
  </si>
  <si>
    <t>เพิ่ม</t>
  </si>
  <si>
    <t>ลด</t>
  </si>
  <si>
    <t>ประจำเดือน พฤศจิกายน พ.ศ. 2565</t>
  </si>
  <si>
    <t>ฝ่ายบริการ/บริหาร</t>
  </si>
  <si>
    <t>ค่าล่วงเวลา</t>
  </si>
  <si>
    <t>ค่าเบี้ยขยัน</t>
  </si>
  <si>
    <t xml:space="preserve">บริษัท  ...................................... จำกัด </t>
  </si>
  <si>
    <t>ประจำเดือน  ....................................................</t>
  </si>
  <si>
    <t>รวมทังสิ้น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</si>
</sst>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00000]0\ 0000\ 00000\ 00\ 0"/>
    <numFmt numFmtId="165" formatCode="_-* #,##0_-;\-* #,##0_-;_-* &quot;-&quot;??_-;_-@_-"/>
  </numFmts>
  <fonts count="3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color theme="1"/>
      <name val="TH Sarabun New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Calibri"/>
      <family val="2"/>
      <charset val="222"/>
      <scheme val="minor"/>
    </font>
    <font>
      <b/>
      <sz val="14"/>
      <color rgb="FFFF0000"/>
      <name val="TH Sarabun New"/>
      <family val="2"/>
    </font>
    <font>
      <sz val="14"/>
      <color rgb="FFFF0000"/>
      <name val="Calibri"/>
      <family val="2"/>
      <charset val="222"/>
      <scheme val="minor"/>
    </font>
    <font>
      <b/>
      <sz val="14"/>
      <name val="TH Sarabun New"/>
      <family val="2"/>
    </font>
    <font>
      <sz val="14"/>
      <name val="TH Sarabun New"/>
      <family val="2"/>
    </font>
    <font>
      <sz val="8"/>
      <name val="Calibri"/>
      <family val="2"/>
      <charset val="222"/>
      <scheme val="minor"/>
    </font>
    <font>
      <b/>
      <u val="doubleAccounting"/>
      <sz val="14"/>
      <color theme="1"/>
      <name val="TH Sarabun New"/>
      <family val="2"/>
    </font>
    <font>
      <b/>
      <u val="double"/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b/>
      <sz val="14"/>
      <color rgb="FFFF0000"/>
      <name val="TH Sarabun New"/>
      <family val="2"/>
      <charset val="222"/>
    </font>
    <font>
      <b/>
      <u val="double"/>
      <sz val="14"/>
      <color theme="1"/>
      <name val="TH Sarabun New"/>
      <family val="2"/>
      <charset val="222"/>
    </font>
    <font>
      <b/>
      <sz val="14"/>
      <color theme="1"/>
      <name val="Calibri"/>
      <family val="2"/>
      <charset val="222"/>
      <scheme val="minor"/>
    </font>
    <font>
      <b/>
      <sz val="14"/>
      <name val="TH Sarabun New"/>
      <family val="2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doubleAccounting"/>
      <sz val="14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6"/>
      <name val="TH Sarabun New"/>
      <family val="2"/>
    </font>
    <font>
      <sz val="16"/>
      <name val="Calibri"/>
      <family val="2"/>
      <charset val="222"/>
      <scheme val="minor"/>
    </font>
    <font>
      <sz val="16"/>
      <color rgb="FFFF0000"/>
      <name val="Calibri"/>
      <family val="2"/>
      <charset val="222"/>
      <scheme val="minor"/>
    </font>
    <font>
      <b/>
      <sz val="16"/>
      <name val="TH Sarabun New"/>
      <family val="2"/>
      <charset val="222"/>
    </font>
    <font>
      <b/>
      <u val="doubleAccounting"/>
      <sz val="16"/>
      <name val="TH Sarabun New"/>
      <family val="2"/>
      <charset val="22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84">
    <xf numFmtId="0" fontId="0" fillId="0" borderId="0" xfId="0"/>
    <xf numFmtId="0" fontId="4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3" fontId="5" fillId="0" borderId="1" xfId="1" applyFont="1" applyFill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11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center"/>
    </xf>
    <xf numFmtId="43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3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4" borderId="0" xfId="0" applyFont="1" applyFill="1" applyAlignment="1">
      <alignment horizontal="center" vertical="center"/>
    </xf>
    <xf numFmtId="43" fontId="13" fillId="3" borderId="0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14" fontId="8" fillId="0" borderId="8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14" fontId="6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/>
    </xf>
    <xf numFmtId="14" fontId="16" fillId="0" borderId="12" xfId="0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8" fillId="0" borderId="13" xfId="0" applyFont="1" applyBorder="1"/>
    <xf numFmtId="0" fontId="18" fillId="0" borderId="14" xfId="0" applyFont="1" applyBorder="1"/>
    <xf numFmtId="49" fontId="11" fillId="0" borderId="1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43" fontId="15" fillId="0" borderId="16" xfId="1" applyFont="1" applyFill="1" applyBorder="1" applyAlignment="1">
      <alignment horizontal="center"/>
    </xf>
    <xf numFmtId="43" fontId="5" fillId="0" borderId="0" xfId="1" applyFont="1"/>
    <xf numFmtId="43" fontId="5" fillId="0" borderId="1" xfId="1" applyFont="1" applyFill="1" applyBorder="1"/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164" fontId="11" fillId="0" borderId="17" xfId="0" applyNumberFormat="1" applyFont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3" fontId="11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3" fontId="5" fillId="0" borderId="4" xfId="1" applyFont="1" applyFill="1" applyBorder="1"/>
    <xf numFmtId="0" fontId="18" fillId="0" borderId="0" xfId="0" applyFont="1" applyAlignment="1">
      <alignment horizontal="center"/>
    </xf>
    <xf numFmtId="43" fontId="15" fillId="0" borderId="15" xfId="1" applyFont="1" applyFill="1" applyBorder="1" applyAlignment="1">
      <alignment horizontal="center"/>
    </xf>
    <xf numFmtId="0" fontId="16" fillId="0" borderId="15" xfId="0" applyFont="1" applyBorder="1" applyAlignment="1">
      <alignment horizontal="center"/>
    </xf>
    <xf numFmtId="43" fontId="15" fillId="5" borderId="16" xfId="1" applyFont="1" applyFill="1" applyBorder="1" applyAlignment="1">
      <alignment horizontal="center"/>
    </xf>
    <xf numFmtId="43" fontId="3" fillId="5" borderId="16" xfId="1" applyFont="1" applyFill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5" fillId="0" borderId="0" xfId="1" applyFont="1" applyAlignment="1">
      <alignment horizontal="center"/>
    </xf>
    <xf numFmtId="43" fontId="4" fillId="0" borderId="0" xfId="1" applyFont="1"/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left"/>
    </xf>
    <xf numFmtId="164" fontId="11" fillId="6" borderId="1" xfId="0" applyNumberFormat="1" applyFont="1" applyFill="1" applyBorder="1" applyAlignment="1">
      <alignment horizontal="center"/>
    </xf>
    <xf numFmtId="43" fontId="11" fillId="6" borderId="1" xfId="1" applyFont="1" applyFill="1" applyBorder="1" applyAlignment="1">
      <alignment horizontal="center"/>
    </xf>
    <xf numFmtId="49" fontId="11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43" fontId="6" fillId="6" borderId="1" xfId="0" applyNumberFormat="1" applyFont="1" applyFill="1" applyBorder="1" applyAlignment="1">
      <alignment horizontal="center"/>
    </xf>
    <xf numFmtId="43" fontId="6" fillId="6" borderId="1" xfId="1" applyFont="1" applyFill="1" applyBorder="1" applyAlignment="1">
      <alignment horizontal="center"/>
    </xf>
    <xf numFmtId="43" fontId="5" fillId="6" borderId="1" xfId="1" applyFont="1" applyFill="1" applyBorder="1" applyAlignment="1">
      <alignment horizontal="center"/>
    </xf>
    <xf numFmtId="43" fontId="5" fillId="6" borderId="1" xfId="1" applyFont="1" applyFill="1" applyBorder="1"/>
    <xf numFmtId="0" fontId="9" fillId="6" borderId="0" xfId="0" applyFont="1" applyFill="1"/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49" fontId="5" fillId="6" borderId="1" xfId="1" applyNumberFormat="1" applyFont="1" applyFill="1" applyBorder="1" applyAlignment="1">
      <alignment horizontal="center"/>
    </xf>
    <xf numFmtId="43" fontId="5" fillId="6" borderId="1" xfId="0" applyNumberFormat="1" applyFont="1" applyFill="1" applyBorder="1" applyAlignment="1">
      <alignment horizontal="center"/>
    </xf>
    <xf numFmtId="0" fontId="4" fillId="6" borderId="0" xfId="0" applyFont="1" applyFill="1"/>
    <xf numFmtId="164" fontId="5" fillId="6" borderId="1" xfId="0" applyNumberFormat="1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49" fontId="11" fillId="6" borderId="1" xfId="1" applyNumberFormat="1" applyFont="1" applyFill="1" applyBorder="1" applyAlignment="1">
      <alignment horizontal="center"/>
    </xf>
    <xf numFmtId="0" fontId="7" fillId="6" borderId="0" xfId="0" applyFont="1" applyFill="1"/>
    <xf numFmtId="43" fontId="11" fillId="6" borderId="1" xfId="0" applyNumberFormat="1" applyFont="1" applyFill="1" applyBorder="1" applyAlignment="1">
      <alignment horizontal="center"/>
    </xf>
    <xf numFmtId="43" fontId="11" fillId="6" borderId="4" xfId="1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1" fontId="7" fillId="0" borderId="0" xfId="0" applyNumberFormat="1" applyFont="1"/>
    <xf numFmtId="1" fontId="11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43" fontId="5" fillId="7" borderId="1" xfId="1" applyFont="1" applyFill="1" applyBorder="1" applyAlignment="1">
      <alignment horizontal="center"/>
    </xf>
    <xf numFmtId="49" fontId="5" fillId="7" borderId="1" xfId="1" applyNumberFormat="1" applyFont="1" applyFill="1" applyBorder="1" applyAlignment="1">
      <alignment horizontal="center"/>
    </xf>
    <xf numFmtId="43" fontId="5" fillId="7" borderId="1" xfId="0" applyNumberFormat="1" applyFont="1" applyFill="1" applyBorder="1" applyAlignment="1">
      <alignment horizontal="center"/>
    </xf>
    <xf numFmtId="43" fontId="6" fillId="7" borderId="1" xfId="1" applyFont="1" applyFill="1" applyBorder="1" applyAlignment="1">
      <alignment horizontal="center"/>
    </xf>
    <xf numFmtId="43" fontId="11" fillId="7" borderId="4" xfId="1" applyFont="1" applyFill="1" applyBorder="1" applyAlignment="1">
      <alignment horizontal="center"/>
    </xf>
    <xf numFmtId="0" fontId="4" fillId="7" borderId="0" xfId="0" applyFont="1" applyFill="1"/>
    <xf numFmtId="164" fontId="5" fillId="7" borderId="1" xfId="0" applyNumberFormat="1" applyFont="1" applyFill="1" applyBorder="1" applyAlignment="1">
      <alignment horizontal="center"/>
    </xf>
    <xf numFmtId="0" fontId="11" fillId="7" borderId="1" xfId="0" applyFont="1" applyFill="1" applyBorder="1"/>
    <xf numFmtId="0" fontId="11" fillId="7" borderId="1" xfId="0" applyFont="1" applyFill="1" applyBorder="1" applyAlignment="1">
      <alignment horizontal="center"/>
    </xf>
    <xf numFmtId="49" fontId="11" fillId="7" borderId="1" xfId="0" applyNumberFormat="1" applyFont="1" applyFill="1" applyBorder="1" applyAlignment="1">
      <alignment horizontal="center"/>
    </xf>
    <xf numFmtId="43" fontId="11" fillId="7" borderId="1" xfId="0" applyNumberFormat="1" applyFont="1" applyFill="1" applyBorder="1" applyAlignment="1">
      <alignment horizontal="center"/>
    </xf>
    <xf numFmtId="43" fontId="11" fillId="7" borderId="1" xfId="1" applyFont="1" applyFill="1" applyBorder="1" applyAlignment="1">
      <alignment horizontal="center"/>
    </xf>
    <xf numFmtId="0" fontId="7" fillId="7" borderId="0" xfId="0" applyFont="1" applyFill="1"/>
    <xf numFmtId="164" fontId="11" fillId="7" borderId="1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left"/>
    </xf>
    <xf numFmtId="0" fontId="11" fillId="7" borderId="4" xfId="0" applyFont="1" applyFill="1" applyBorder="1" applyAlignment="1">
      <alignment horizontal="left"/>
    </xf>
    <xf numFmtId="164" fontId="11" fillId="7" borderId="17" xfId="0" applyNumberFormat="1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49" fontId="11" fillId="7" borderId="4" xfId="0" applyNumberFormat="1" applyFont="1" applyFill="1" applyBorder="1" applyAlignment="1">
      <alignment horizontal="center"/>
    </xf>
    <xf numFmtId="43" fontId="11" fillId="7" borderId="4" xfId="0" applyNumberFormat="1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9" fillId="7" borderId="0" xfId="0" applyFont="1" applyFill="1"/>
    <xf numFmtId="0" fontId="15" fillId="0" borderId="0" xfId="0" applyFont="1"/>
    <xf numFmtId="1" fontId="6" fillId="0" borderId="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0" fontId="18" fillId="0" borderId="0" xfId="0" applyFont="1"/>
    <xf numFmtId="0" fontId="15" fillId="0" borderId="14" xfId="0" applyFont="1" applyBorder="1" applyAlignment="1">
      <alignment horizontal="center"/>
    </xf>
    <xf numFmtId="43" fontId="13" fillId="3" borderId="20" xfId="1" applyFont="1" applyFill="1" applyBorder="1" applyAlignment="1">
      <alignment horizontal="center" vertical="center"/>
    </xf>
    <xf numFmtId="43" fontId="6" fillId="7" borderId="4" xfId="1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164" fontId="6" fillId="7" borderId="1" xfId="0" applyNumberFormat="1" applyFont="1" applyFill="1" applyBorder="1" applyAlignment="1">
      <alignment horizontal="center"/>
    </xf>
    <xf numFmtId="49" fontId="6" fillId="7" borderId="1" xfId="0" applyNumberFormat="1" applyFont="1" applyFill="1" applyBorder="1" applyAlignment="1">
      <alignment horizontal="center"/>
    </xf>
    <xf numFmtId="43" fontId="6" fillId="7" borderId="1" xfId="0" applyNumberFormat="1" applyFont="1" applyFill="1" applyBorder="1" applyAlignment="1">
      <alignment horizontal="center"/>
    </xf>
    <xf numFmtId="43" fontId="11" fillId="0" borderId="0" xfId="1" applyFont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43" fontId="19" fillId="5" borderId="16" xfId="1" applyFont="1" applyFill="1" applyBorder="1" applyAlignment="1">
      <alignment horizontal="center"/>
    </xf>
    <xf numFmtId="43" fontId="10" fillId="0" borderId="0" xfId="1" applyFont="1" applyFill="1" applyBorder="1" applyAlignment="1">
      <alignment horizontal="center"/>
    </xf>
    <xf numFmtId="43" fontId="11" fillId="0" borderId="0" xfId="1" applyFont="1" applyAlignment="1">
      <alignment horizontal="center"/>
    </xf>
    <xf numFmtId="43" fontId="7" fillId="0" borderId="0" xfId="1" applyFont="1"/>
    <xf numFmtId="0" fontId="15" fillId="7" borderId="7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11" xfId="0" applyFont="1" applyFill="1" applyBorder="1" applyAlignment="1">
      <alignment horizontal="center"/>
    </xf>
    <xf numFmtId="43" fontId="3" fillId="0" borderId="1" xfId="1" applyFont="1" applyBorder="1" applyAlignment="1">
      <alignment vertical="center" wrapText="1"/>
    </xf>
    <xf numFmtId="43" fontId="3" fillId="4" borderId="16" xfId="0" applyNumberFormat="1" applyFont="1" applyFill="1" applyBorder="1" applyAlignment="1">
      <alignment horizontal="center"/>
    </xf>
    <xf numFmtId="43" fontId="10" fillId="4" borderId="16" xfId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6" borderId="4" xfId="0" applyFont="1" applyFill="1" applyBorder="1" applyAlignment="1">
      <alignment horizontal="left"/>
    </xf>
    <xf numFmtId="164" fontId="11" fillId="6" borderId="17" xfId="0" applyNumberFormat="1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3" fontId="11" fillId="6" borderId="17" xfId="0" applyNumberFormat="1" applyFont="1" applyFill="1" applyBorder="1" applyAlignment="1">
      <alignment horizontal="center"/>
    </xf>
    <xf numFmtId="43" fontId="11" fillId="6" borderId="17" xfId="1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14" fontId="16" fillId="0" borderId="13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43" fontId="5" fillId="8" borderId="1" xfId="1" applyFont="1" applyFill="1" applyBorder="1" applyAlignment="1">
      <alignment horizontal="center"/>
    </xf>
    <xf numFmtId="0" fontId="4" fillId="8" borderId="0" xfId="0" applyFont="1" applyFill="1"/>
    <xf numFmtId="0" fontId="3" fillId="0" borderId="1" xfId="0" applyFont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43" fontId="5" fillId="9" borderId="1" xfId="1" applyFont="1" applyFill="1" applyBorder="1" applyAlignment="1">
      <alignment horizontal="left"/>
    </xf>
    <xf numFmtId="43" fontId="5" fillId="9" borderId="1" xfId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4" fillId="9" borderId="0" xfId="0" applyFont="1" applyFill="1"/>
    <xf numFmtId="164" fontId="5" fillId="9" borderId="1" xfId="0" applyNumberFormat="1" applyFont="1" applyFill="1" applyBorder="1" applyAlignment="1">
      <alignment horizontal="center"/>
    </xf>
    <xf numFmtId="0" fontId="5" fillId="9" borderId="1" xfId="0" applyFont="1" applyFill="1" applyBorder="1"/>
    <xf numFmtId="0" fontId="5" fillId="0" borderId="0" xfId="0" applyFont="1"/>
    <xf numFmtId="43" fontId="5" fillId="8" borderId="1" xfId="1" applyFont="1" applyFill="1" applyBorder="1" applyAlignment="1">
      <alignment horizontal="left"/>
    </xf>
    <xf numFmtId="0" fontId="3" fillId="0" borderId="4" xfId="2" applyFont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3" fontId="5" fillId="0" borderId="4" xfId="0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14" fontId="5" fillId="0" borderId="13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15" fillId="0" borderId="12" xfId="0" applyNumberFormat="1" applyFont="1" applyBorder="1" applyAlignment="1">
      <alignment horizontal="center"/>
    </xf>
    <xf numFmtId="43" fontId="5" fillId="9" borderId="1" xfId="1" applyFont="1" applyFill="1" applyBorder="1"/>
    <xf numFmtId="0" fontId="5" fillId="9" borderId="4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left"/>
    </xf>
    <xf numFmtId="164" fontId="5" fillId="9" borderId="17" xfId="0" applyNumberFormat="1" applyFont="1" applyFill="1" applyBorder="1" applyAlignment="1">
      <alignment horizontal="center"/>
    </xf>
    <xf numFmtId="43" fontId="5" fillId="9" borderId="4" xfId="1" applyFont="1" applyFill="1" applyBorder="1" applyAlignment="1">
      <alignment horizontal="center"/>
    </xf>
    <xf numFmtId="43" fontId="5" fillId="9" borderId="4" xfId="1" applyFont="1" applyFill="1" applyBorder="1"/>
    <xf numFmtId="43" fontId="5" fillId="8" borderId="1" xfId="1" applyFont="1" applyFill="1" applyBorder="1"/>
    <xf numFmtId="43" fontId="13" fillId="0" borderId="1" xfId="1" applyFont="1" applyBorder="1" applyAlignment="1">
      <alignment horizontal="left"/>
    </xf>
    <xf numFmtId="43" fontId="3" fillId="0" borderId="1" xfId="1" applyFont="1" applyFill="1" applyBorder="1" applyAlignment="1">
      <alignment horizontal="center" wrapText="1"/>
    </xf>
    <xf numFmtId="1" fontId="11" fillId="9" borderId="1" xfId="0" applyNumberFormat="1" applyFont="1" applyFill="1" applyBorder="1" applyAlignment="1">
      <alignment horizontal="center"/>
    </xf>
    <xf numFmtId="43" fontId="11" fillId="9" borderId="4" xfId="1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49" fontId="5" fillId="9" borderId="1" xfId="1" applyNumberFormat="1" applyFont="1" applyFill="1" applyBorder="1" applyAlignment="1">
      <alignment horizontal="center"/>
    </xf>
    <xf numFmtId="43" fontId="6" fillId="9" borderId="1" xfId="1" applyFont="1" applyFill="1" applyBorder="1" applyAlignment="1">
      <alignment horizontal="center"/>
    </xf>
    <xf numFmtId="0" fontId="11" fillId="9" borderId="1" xfId="0" applyFont="1" applyFill="1" applyBorder="1"/>
    <xf numFmtId="0" fontId="11" fillId="9" borderId="1" xfId="0" applyFont="1" applyFill="1" applyBorder="1" applyAlignment="1">
      <alignment horizontal="center"/>
    </xf>
    <xf numFmtId="49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horizontal="center"/>
    </xf>
    <xf numFmtId="49" fontId="5" fillId="9" borderId="1" xfId="0" applyNumberFormat="1" applyFont="1" applyFill="1" applyBorder="1" applyAlignment="1">
      <alignment horizontal="center"/>
    </xf>
    <xf numFmtId="0" fontId="7" fillId="9" borderId="0" xfId="0" applyFont="1" applyFill="1"/>
    <xf numFmtId="0" fontId="11" fillId="9" borderId="1" xfId="0" applyFont="1" applyFill="1" applyBorder="1" applyAlignment="1">
      <alignment horizontal="left"/>
    </xf>
    <xf numFmtId="43" fontId="11" fillId="9" borderId="1" xfId="1" applyFont="1" applyFill="1" applyBorder="1" applyAlignment="1">
      <alignment horizontal="center"/>
    </xf>
    <xf numFmtId="0" fontId="11" fillId="9" borderId="4" xfId="0" applyFont="1" applyFill="1" applyBorder="1" applyAlignment="1">
      <alignment horizontal="left"/>
    </xf>
    <xf numFmtId="164" fontId="11" fillId="9" borderId="17" xfId="0" applyNumberFormat="1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/>
    </xf>
    <xf numFmtId="49" fontId="11" fillId="9" borderId="4" xfId="0" applyNumberFormat="1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9" fillId="9" borderId="0" xfId="0" applyFont="1" applyFill="1"/>
    <xf numFmtId="1" fontId="11" fillId="8" borderId="1" xfId="0" applyNumberFormat="1" applyFont="1" applyFill="1" applyBorder="1" applyAlignment="1">
      <alignment horizontal="center"/>
    </xf>
    <xf numFmtId="43" fontId="11" fillId="8" borderId="4" xfId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49" fontId="11" fillId="8" borderId="1" xfId="1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center"/>
    </xf>
    <xf numFmtId="43" fontId="11" fillId="8" borderId="1" xfId="1" applyFont="1" applyFill="1" applyBorder="1" applyAlignment="1">
      <alignment horizontal="center"/>
    </xf>
    <xf numFmtId="0" fontId="7" fillId="8" borderId="0" xfId="0" applyFont="1" applyFill="1"/>
    <xf numFmtId="49" fontId="5" fillId="8" borderId="1" xfId="1" applyNumberFormat="1" applyFont="1" applyFill="1" applyBorder="1" applyAlignment="1">
      <alignment horizontal="center"/>
    </xf>
    <xf numFmtId="164" fontId="11" fillId="8" borderId="1" xfId="0" applyNumberFormat="1" applyFont="1" applyFill="1" applyBorder="1" applyAlignment="1">
      <alignment horizontal="center"/>
    </xf>
    <xf numFmtId="49" fontId="11" fillId="8" borderId="1" xfId="0" applyNumberFormat="1" applyFont="1" applyFill="1" applyBorder="1" applyAlignment="1">
      <alignment horizontal="center"/>
    </xf>
    <xf numFmtId="0" fontId="9" fillId="8" borderId="0" xfId="0" applyFont="1" applyFill="1"/>
    <xf numFmtId="43" fontId="4" fillId="0" borderId="0" xfId="0" applyNumberFormat="1" applyFont="1"/>
    <xf numFmtId="43" fontId="15" fillId="5" borderId="15" xfId="1" applyFont="1" applyFill="1" applyBorder="1" applyAlignment="1">
      <alignment horizontal="center"/>
    </xf>
    <xf numFmtId="43" fontId="5" fillId="9" borderId="1" xfId="0" applyNumberFormat="1" applyFont="1" applyFill="1" applyBorder="1" applyAlignment="1">
      <alignment horizontal="center"/>
    </xf>
    <xf numFmtId="43" fontId="11" fillId="9" borderId="1" xfId="0" applyNumberFormat="1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164" fontId="6" fillId="9" borderId="1" xfId="0" applyNumberFormat="1" applyFont="1" applyFill="1" applyBorder="1" applyAlignment="1">
      <alignment horizontal="center"/>
    </xf>
    <xf numFmtId="49" fontId="6" fillId="9" borderId="1" xfId="0" applyNumberFormat="1" applyFont="1" applyFill="1" applyBorder="1" applyAlignment="1">
      <alignment horizontal="center"/>
    </xf>
    <xf numFmtId="43" fontId="6" fillId="9" borderId="1" xfId="0" applyNumberFormat="1" applyFont="1" applyFill="1" applyBorder="1" applyAlignment="1">
      <alignment horizontal="center"/>
    </xf>
    <xf numFmtId="43" fontId="6" fillId="9" borderId="4" xfId="1" applyFont="1" applyFill="1" applyBorder="1" applyAlignment="1">
      <alignment horizontal="center"/>
    </xf>
    <xf numFmtId="43" fontId="11" fillId="9" borderId="4" xfId="0" applyNumberFormat="1" applyFont="1" applyFill="1" applyBorder="1" applyAlignment="1">
      <alignment horizontal="center"/>
    </xf>
    <xf numFmtId="43" fontId="5" fillId="8" borderId="1" xfId="0" applyNumberFormat="1" applyFont="1" applyFill="1" applyBorder="1" applyAlignment="1">
      <alignment horizontal="center"/>
    </xf>
    <xf numFmtId="43" fontId="6" fillId="8" borderId="1" xfId="0" applyNumberFormat="1" applyFont="1" applyFill="1" applyBorder="1" applyAlignment="1">
      <alignment horizontal="center"/>
    </xf>
    <xf numFmtId="43" fontId="6" fillId="8" borderId="1" xfId="1" applyFont="1" applyFill="1" applyBorder="1" applyAlignment="1">
      <alignment horizontal="center"/>
    </xf>
    <xf numFmtId="43" fontId="11" fillId="8" borderId="1" xfId="0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43" fontId="5" fillId="0" borderId="2" xfId="0" applyNumberFormat="1" applyFont="1" applyBorder="1" applyAlignment="1">
      <alignment horizontal="center"/>
    </xf>
    <xf numFmtId="43" fontId="3" fillId="4" borderId="26" xfId="0" applyNumberFormat="1" applyFont="1" applyFill="1" applyBorder="1" applyAlignment="1">
      <alignment horizontal="center"/>
    </xf>
    <xf numFmtId="43" fontId="3" fillId="0" borderId="0" xfId="1" applyFont="1" applyBorder="1" applyAlignment="1">
      <alignment horizontal="center" vertical="center" wrapText="1"/>
    </xf>
    <xf numFmtId="43" fontId="10" fillId="0" borderId="0" xfId="1" applyFont="1" applyBorder="1" applyAlignment="1">
      <alignment horizontal="center" vertical="center"/>
    </xf>
    <xf numFmtId="43" fontId="11" fillId="0" borderId="0" xfId="1" applyFont="1" applyBorder="1" applyAlignment="1">
      <alignment horizontal="center"/>
    </xf>
    <xf numFmtId="43" fontId="3" fillId="0" borderId="0" xfId="1" applyFont="1" applyBorder="1" applyAlignment="1">
      <alignment vertical="center" wrapText="1"/>
    </xf>
    <xf numFmtId="43" fontId="3" fillId="0" borderId="0" xfId="0" applyNumberFormat="1" applyFont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3" fontId="10" fillId="0" borderId="0" xfId="1" applyFont="1" applyFill="1" applyBorder="1" applyAlignment="1">
      <alignment horizontal="center" vertical="center"/>
    </xf>
    <xf numFmtId="43" fontId="5" fillId="0" borderId="0" xfId="1" applyFont="1" applyFill="1" applyBorder="1"/>
    <xf numFmtId="43" fontId="11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vertical="center" wrapText="1"/>
    </xf>
    <xf numFmtId="43" fontId="7" fillId="0" borderId="0" xfId="1" applyFont="1" applyFill="1" applyBorder="1"/>
    <xf numFmtId="0" fontId="11" fillId="8" borderId="4" xfId="0" applyFont="1" applyFill="1" applyBorder="1" applyAlignment="1">
      <alignment horizontal="left"/>
    </xf>
    <xf numFmtId="164" fontId="11" fillId="8" borderId="17" xfId="0" applyNumberFormat="1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11" fillId="0" borderId="13" xfId="0" applyFont="1" applyBorder="1" applyAlignment="1">
      <alignment horizontal="left"/>
    </xf>
    <xf numFmtId="1" fontId="11" fillId="0" borderId="8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43" fontId="3" fillId="0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3" fontId="10" fillId="0" borderId="4" xfId="1" applyFont="1" applyBorder="1" applyAlignment="1">
      <alignment horizontal="center" vertical="center" wrapText="1"/>
    </xf>
    <xf numFmtId="43" fontId="15" fillId="0" borderId="0" xfId="1" applyFont="1"/>
    <xf numFmtId="43" fontId="18" fillId="0" borderId="0" xfId="1" applyFont="1"/>
    <xf numFmtId="43" fontId="13" fillId="4" borderId="16" xfId="0" applyNumberFormat="1" applyFont="1" applyFill="1" applyBorder="1" applyAlignment="1">
      <alignment horizontal="center"/>
    </xf>
    <xf numFmtId="43" fontId="22" fillId="4" borderId="1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1" fillId="0" borderId="0" xfId="0" applyFont="1" applyAlignment="1">
      <alignment horizontal="left"/>
    </xf>
    <xf numFmtId="1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3" fontId="13" fillId="0" borderId="0" xfId="0" applyNumberFormat="1" applyFont="1" applyAlignment="1">
      <alignment horizontal="center"/>
    </xf>
    <xf numFmtId="43" fontId="22" fillId="0" borderId="0" xfId="1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3" fontId="25" fillId="0" borderId="0" xfId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14" fontId="26" fillId="0" borderId="0" xfId="0" applyNumberFormat="1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horizontal="left" vertical="center"/>
    </xf>
    <xf numFmtId="0" fontId="23" fillId="0" borderId="0" xfId="0" applyFont="1"/>
    <xf numFmtId="0" fontId="10" fillId="0" borderId="4" xfId="2" applyFont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3" fontId="15" fillId="4" borderId="15" xfId="1" applyFont="1" applyFill="1" applyBorder="1"/>
    <xf numFmtId="165" fontId="3" fillId="0" borderId="0" xfId="1" applyNumberFormat="1" applyFont="1" applyFill="1" applyBorder="1" applyAlignment="1">
      <alignment horizontal="center"/>
    </xf>
    <xf numFmtId="43" fontId="3" fillId="0" borderId="28" xfId="1" applyFont="1" applyFill="1" applyBorder="1" applyAlignment="1">
      <alignment horizontal="center"/>
    </xf>
    <xf numFmtId="165" fontId="13" fillId="0" borderId="0" xfId="0" applyNumberFormat="1" applyFont="1" applyAlignment="1">
      <alignment horizontal="center" vertical="center"/>
    </xf>
    <xf numFmtId="165" fontId="22" fillId="0" borderId="0" xfId="1" applyNumberFormat="1" applyFont="1" applyFill="1" applyBorder="1" applyAlignment="1">
      <alignment horizontal="center" vertical="center"/>
    </xf>
    <xf numFmtId="43" fontId="3" fillId="0" borderId="15" xfId="1" applyFont="1" applyFill="1" applyBorder="1" applyAlignment="1">
      <alignment horizontal="center"/>
    </xf>
    <xf numFmtId="0" fontId="6" fillId="7" borderId="1" xfId="0" applyFont="1" applyFill="1" applyBorder="1"/>
    <xf numFmtId="1" fontId="6" fillId="6" borderId="1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left"/>
    </xf>
    <xf numFmtId="164" fontId="6" fillId="6" borderId="1" xfId="0" applyNumberFormat="1" applyFont="1" applyFill="1" applyBorder="1" applyAlignment="1">
      <alignment horizontal="center"/>
    </xf>
    <xf numFmtId="164" fontId="6" fillId="6" borderId="17" xfId="0" applyNumberFormat="1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43" fontId="6" fillId="6" borderId="4" xfId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center"/>
    </xf>
    <xf numFmtId="43" fontId="6" fillId="6" borderId="4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43" fontId="3" fillId="0" borderId="5" xfId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center"/>
    </xf>
    <xf numFmtId="43" fontId="11" fillId="6" borderId="4" xfId="0" applyNumberFormat="1" applyFont="1" applyFill="1" applyBorder="1" applyAlignment="1">
      <alignment horizontal="center"/>
    </xf>
    <xf numFmtId="43" fontId="5" fillId="0" borderId="1" xfId="1" applyFont="1" applyBorder="1" applyAlignment="1">
      <alignment wrapText="1"/>
    </xf>
    <xf numFmtId="0" fontId="8" fillId="0" borderId="0" xfId="0" applyFont="1" applyAlignment="1">
      <alignment horizontal="left" vertical="center"/>
    </xf>
    <xf numFmtId="14" fontId="11" fillId="0" borderId="0" xfId="0" applyNumberFormat="1" applyFont="1" applyAlignment="1">
      <alignment vertical="center"/>
    </xf>
    <xf numFmtId="43" fontId="11" fillId="11" borderId="4" xfId="1" applyFont="1" applyFill="1" applyBorder="1" applyAlignment="1">
      <alignment horizontal="center"/>
    </xf>
    <xf numFmtId="43" fontId="11" fillId="11" borderId="1" xfId="1" applyFont="1" applyFill="1" applyBorder="1" applyAlignment="1">
      <alignment horizontal="center"/>
    </xf>
    <xf numFmtId="43" fontId="5" fillId="11" borderId="1" xfId="1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vertical="center"/>
    </xf>
    <xf numFmtId="43" fontId="11" fillId="12" borderId="4" xfId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43" fontId="5" fillId="6" borderId="4" xfId="1" applyFont="1" applyFill="1" applyBorder="1" applyAlignment="1">
      <alignment horizontal="center"/>
    </xf>
    <xf numFmtId="0" fontId="27" fillId="0" borderId="0" xfId="0" applyFont="1"/>
    <xf numFmtId="49" fontId="6" fillId="7" borderId="1" xfId="1" applyNumberFormat="1" applyFont="1" applyFill="1" applyBorder="1" applyAlignment="1">
      <alignment horizontal="center"/>
    </xf>
    <xf numFmtId="0" fontId="6" fillId="7" borderId="4" xfId="0" applyFont="1" applyFill="1" applyBorder="1" applyAlignment="1">
      <alignment horizontal="left"/>
    </xf>
    <xf numFmtId="164" fontId="6" fillId="7" borderId="17" xfId="0" applyNumberFormat="1" applyFont="1" applyFill="1" applyBorder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43" fontId="6" fillId="7" borderId="4" xfId="0" applyNumberFormat="1" applyFont="1" applyFill="1" applyBorder="1" applyAlignment="1">
      <alignment horizontal="center"/>
    </xf>
    <xf numFmtId="0" fontId="15" fillId="7" borderId="8" xfId="0" applyFont="1" applyFill="1" applyBorder="1" applyAlignment="1">
      <alignment horizontal="left"/>
    </xf>
    <xf numFmtId="0" fontId="15" fillId="6" borderId="0" xfId="0" applyFont="1" applyFill="1" applyAlignment="1">
      <alignment horizontal="left"/>
    </xf>
    <xf numFmtId="0" fontId="28" fillId="0" borderId="0" xfId="0" applyFont="1"/>
    <xf numFmtId="49" fontId="11" fillId="7" borderId="1" xfId="1" applyNumberFormat="1" applyFont="1" applyFill="1" applyBorder="1" applyAlignment="1">
      <alignment horizontal="center"/>
    </xf>
    <xf numFmtId="43" fontId="6" fillId="12" borderId="4" xfId="1" applyFont="1" applyFill="1" applyBorder="1" applyAlignment="1">
      <alignment horizontal="center"/>
    </xf>
    <xf numFmtId="43" fontId="6" fillId="6" borderId="17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left" vertical="center"/>
    </xf>
    <xf numFmtId="0" fontId="6" fillId="6" borderId="1" xfId="0" applyFont="1" applyFill="1" applyBorder="1" applyAlignment="1">
      <alignment horizontal="left"/>
    </xf>
    <xf numFmtId="0" fontId="28" fillId="7" borderId="0" xfId="0" applyFont="1" applyFill="1"/>
    <xf numFmtId="43" fontId="0" fillId="0" borderId="0" xfId="0" applyNumberFormat="1"/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3" fontId="3" fillId="0" borderId="18" xfId="1" applyFont="1" applyBorder="1" applyAlignment="1">
      <alignment horizontal="center" vertical="center"/>
    </xf>
    <xf numFmtId="43" fontId="3" fillId="0" borderId="17" xfId="1" applyFont="1" applyBorder="1" applyAlignment="1">
      <alignment horizontal="center" vertical="center"/>
    </xf>
    <xf numFmtId="43" fontId="3" fillId="0" borderId="19" xfId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0" fillId="0" borderId="6" xfId="2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3" fillId="10" borderId="30" xfId="0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0" fontId="3" fillId="10" borderId="32" xfId="0" applyFont="1" applyFill="1" applyBorder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/>
    <xf numFmtId="1" fontId="26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3" fontId="26" fillId="0" borderId="0" xfId="1" applyFont="1" applyFill="1" applyBorder="1" applyAlignment="1">
      <alignment horizontal="center" vertical="center"/>
    </xf>
    <xf numFmtId="43" fontId="26" fillId="0" borderId="0" xfId="1" applyFont="1" applyFill="1" applyAlignment="1">
      <alignment horizontal="center" vertical="center"/>
    </xf>
    <xf numFmtId="43" fontId="26" fillId="0" borderId="0" xfId="1" applyFont="1" applyFill="1"/>
    <xf numFmtId="1" fontId="29" fillId="0" borderId="33" xfId="0" applyNumberFormat="1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 wrapText="1"/>
    </xf>
    <xf numFmtId="43" fontId="29" fillId="0" borderId="34" xfId="1" applyFont="1" applyFill="1" applyBorder="1" applyAlignment="1">
      <alignment horizontal="center" vertical="center"/>
    </xf>
    <xf numFmtId="0" fontId="29" fillId="0" borderId="35" xfId="0" applyFont="1" applyFill="1" applyBorder="1" applyAlignment="1">
      <alignment horizontal="center" vertical="center"/>
    </xf>
    <xf numFmtId="0" fontId="29" fillId="0" borderId="36" xfId="0" applyFont="1" applyFill="1" applyBorder="1" applyAlignment="1">
      <alignment horizontal="center" vertical="center"/>
    </xf>
    <xf numFmtId="0" fontId="29" fillId="0" borderId="35" xfId="2" applyFont="1" applyFill="1" applyBorder="1" applyAlignment="1">
      <alignment horizontal="center" vertical="center"/>
    </xf>
    <xf numFmtId="0" fontId="29" fillId="0" borderId="37" xfId="2" applyFont="1" applyFill="1" applyBorder="1" applyAlignment="1">
      <alignment horizontal="center" vertical="center"/>
    </xf>
    <xf numFmtId="0" fontId="29" fillId="0" borderId="36" xfId="2" applyFont="1" applyFill="1" applyBorder="1" applyAlignment="1">
      <alignment horizontal="center" vertical="center"/>
    </xf>
    <xf numFmtId="43" fontId="29" fillId="0" borderId="8" xfId="1" applyFont="1" applyFill="1" applyBorder="1" applyAlignment="1">
      <alignment horizontal="center" vertical="center"/>
    </xf>
    <xf numFmtId="43" fontId="29" fillId="0" borderId="38" xfId="1" applyFont="1" applyFill="1" applyBorder="1" applyAlignment="1">
      <alignment horizontal="center" vertical="center"/>
    </xf>
    <xf numFmtId="43" fontId="29" fillId="0" borderId="34" xfId="1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/>
    </xf>
    <xf numFmtId="1" fontId="29" fillId="0" borderId="40" xfId="0" applyNumberFormat="1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 wrapText="1"/>
    </xf>
    <xf numFmtId="43" fontId="29" fillId="0" borderId="41" xfId="1" applyFont="1" applyFill="1" applyBorder="1" applyAlignment="1">
      <alignment horizontal="center" vertical="center"/>
    </xf>
    <xf numFmtId="0" fontId="29" fillId="0" borderId="42" xfId="0" applyFont="1" applyFill="1" applyBorder="1" applyAlignment="1">
      <alignment horizontal="center" vertical="center"/>
    </xf>
    <xf numFmtId="0" fontId="29" fillId="0" borderId="42" xfId="2" applyFont="1" applyFill="1" applyBorder="1" applyAlignment="1">
      <alignment horizontal="center" vertical="center"/>
    </xf>
    <xf numFmtId="0" fontId="29" fillId="0" borderId="42" xfId="2" applyFont="1" applyFill="1" applyBorder="1" applyAlignment="1">
      <alignment horizontal="center" vertical="center" wrapText="1"/>
    </xf>
    <xf numFmtId="43" fontId="29" fillId="0" borderId="42" xfId="1" applyFont="1" applyFill="1" applyBorder="1" applyAlignment="1">
      <alignment horizontal="center" vertical="center" wrapText="1"/>
    </xf>
    <xf numFmtId="43" fontId="29" fillId="0" borderId="42" xfId="1" applyFont="1" applyFill="1" applyBorder="1" applyAlignment="1">
      <alignment horizontal="center" vertical="center"/>
    </xf>
    <xf numFmtId="43" fontId="29" fillId="0" borderId="41" xfId="1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/>
    </xf>
    <xf numFmtId="1" fontId="26" fillId="0" borderId="4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left"/>
    </xf>
    <xf numFmtId="0" fontId="26" fillId="0" borderId="5" xfId="0" applyFont="1" applyFill="1" applyBorder="1" applyAlignment="1">
      <alignment horizontal="center"/>
    </xf>
    <xf numFmtId="164" fontId="26" fillId="0" borderId="5" xfId="0" applyNumberFormat="1" applyFont="1" applyFill="1" applyBorder="1" applyAlignment="1">
      <alignment horizontal="center"/>
    </xf>
    <xf numFmtId="43" fontId="26" fillId="0" borderId="5" xfId="1" applyFont="1" applyFill="1" applyBorder="1" applyAlignment="1">
      <alignment horizontal="center"/>
    </xf>
    <xf numFmtId="0" fontId="26" fillId="0" borderId="29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left"/>
    </xf>
    <xf numFmtId="0" fontId="26" fillId="0" borderId="1" xfId="0" applyFont="1" applyFill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43" fontId="26" fillId="0" borderId="1" xfId="1" applyFont="1" applyFill="1" applyBorder="1" applyAlignment="1">
      <alignment horizontal="center"/>
    </xf>
    <xf numFmtId="0" fontId="26" fillId="0" borderId="44" xfId="0" applyFont="1" applyFill="1" applyBorder="1" applyAlignment="1">
      <alignment horizontal="center"/>
    </xf>
    <xf numFmtId="49" fontId="26" fillId="0" borderId="1" xfId="1" applyNumberFormat="1" applyFont="1" applyFill="1" applyBorder="1" applyAlignment="1">
      <alignment horizontal="center"/>
    </xf>
    <xf numFmtId="43" fontId="26" fillId="0" borderId="44" xfId="1" applyFont="1" applyFill="1" applyBorder="1" applyAlignment="1">
      <alignment horizontal="center"/>
    </xf>
    <xf numFmtId="0" fontId="31" fillId="0" borderId="0" xfId="0" applyFont="1" applyFill="1"/>
    <xf numFmtId="49" fontId="26" fillId="0" borderId="1" xfId="0" applyNumberFormat="1" applyFont="1" applyFill="1" applyBorder="1" applyAlignment="1">
      <alignment horizontal="center"/>
    </xf>
    <xf numFmtId="43" fontId="33" fillId="0" borderId="43" xfId="1" applyFont="1" applyFill="1" applyBorder="1" applyAlignment="1">
      <alignment horizontal="center"/>
    </xf>
    <xf numFmtId="43" fontId="32" fillId="0" borderId="43" xfId="1" applyFont="1" applyFill="1" applyBorder="1" applyAlignment="1">
      <alignment horizontal="center"/>
    </xf>
    <xf numFmtId="0" fontId="32" fillId="0" borderId="43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 vertical="center"/>
    </xf>
  </cellXfs>
  <cellStyles count="4">
    <cellStyle name="Comma" xfId="1" builtinId="3"/>
    <cellStyle name="Comma 2" xfId="3" xr:uid="{A952F341-0FF2-4C32-8011-15709D6DC0A5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DE9D9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55" Type="http://schemas.microsoft.com/office/2017/10/relationships/person" Target="persons/person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3" Type="http://schemas.microsoft.com/office/2017/10/relationships/person" Target="persons/person5.xml"/><Relationship Id="rId58" Type="http://schemas.microsoft.com/office/2017/10/relationships/person" Target="persons/person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61" Type="http://schemas.microsoft.com/office/2017/10/relationships/person" Target="persons/person7.xml"/><Relationship Id="rId57" Type="http://schemas.microsoft.com/office/2017/10/relationships/person" Target="persons/person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60" Type="http://schemas.microsoft.com/office/2017/10/relationships/person" Target="persons/person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56" Type="http://schemas.microsoft.com/office/2017/10/relationships/person" Target="persons/perso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59" Type="http://schemas.microsoft.com/office/2017/10/relationships/person" Target="persons/person2.xml"/><Relationship Id="rId20" Type="http://schemas.openxmlformats.org/officeDocument/2006/relationships/worksheet" Target="worksheets/sheet20.xml"/><Relationship Id="rId54" Type="http://schemas.microsoft.com/office/2017/10/relationships/person" Target="persons/person0.xml"/><Relationship Id="rId62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8"/>
  <sheetViews>
    <sheetView view="pageBreakPreview" zoomScaleNormal="100" zoomScaleSheetLayoutView="100" workbookViewId="0">
      <pane xSplit="5" ySplit="6" topLeftCell="F7" activePane="bottomRight" state="frozen"/>
      <selection pane="topRight" activeCell="G1" sqref="G1"/>
      <selection pane="bottomLeft" activeCell="A7" sqref="A7"/>
      <selection pane="bottomRight" activeCell="G12" sqref="G12"/>
    </sheetView>
  </sheetViews>
  <sheetFormatPr defaultColWidth="9" defaultRowHeight="18.75"/>
  <cols>
    <col min="1" max="1" width="9" style="1"/>
    <col min="2" max="3" width="22.7109375" style="1" customWidth="1"/>
    <col min="4" max="4" width="17.5703125" style="1" customWidth="1"/>
    <col min="5" max="5" width="17.28515625" style="1" customWidth="1"/>
    <col min="6" max="6" width="15.7109375" style="1" customWidth="1"/>
    <col min="7" max="7" width="14.42578125" style="1" customWidth="1"/>
    <col min="8" max="8" width="11" style="1" customWidth="1"/>
    <col min="9" max="12" width="9" style="1" customWidth="1"/>
    <col min="13" max="13" width="15" style="1" customWidth="1"/>
    <col min="14" max="14" width="15" style="1" bestFit="1" customWidth="1"/>
    <col min="15" max="15" width="24.28515625" style="1" customWidth="1"/>
    <col min="16" max="16384" width="9" style="1"/>
  </cols>
  <sheetData>
    <row r="1" spans="1:15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</row>
    <row r="2" spans="1:15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</row>
    <row r="3" spans="1:15" ht="20.25" customHeight="1">
      <c r="A3" s="381" t="s">
        <v>117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</row>
    <row r="4" spans="1:15" ht="20.25" customHeight="1">
      <c r="A4" s="9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20.25" customHeight="1">
      <c r="A5" s="382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394" t="s">
        <v>10</v>
      </c>
      <c r="L5" s="394"/>
      <c r="M5" s="394"/>
      <c r="N5" s="395" t="s">
        <v>11</v>
      </c>
      <c r="O5" s="397" t="s">
        <v>12</v>
      </c>
    </row>
    <row r="6" spans="1:15" ht="20.25" customHeight="1">
      <c r="A6" s="383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42" t="s">
        <v>17</v>
      </c>
      <c r="L6" s="42" t="s">
        <v>18</v>
      </c>
      <c r="M6" s="43" t="s">
        <v>124</v>
      </c>
      <c r="N6" s="396"/>
      <c r="O6" s="397"/>
    </row>
    <row r="7" spans="1:15" ht="20.25" customHeight="1">
      <c r="A7" s="13">
        <v>1</v>
      </c>
      <c r="B7" s="14" t="s">
        <v>20</v>
      </c>
      <c r="C7" s="13" t="s">
        <v>21</v>
      </c>
      <c r="D7" s="13" t="s">
        <v>22</v>
      </c>
      <c r="E7" s="15">
        <v>14600</v>
      </c>
      <c r="F7" s="13"/>
      <c r="G7" s="13"/>
      <c r="H7" s="13"/>
      <c r="I7" s="13"/>
      <c r="J7" s="13"/>
      <c r="K7" s="16"/>
      <c r="L7" s="17"/>
      <c r="M7" s="17">
        <f>ROUND(E7*3%,0)</f>
        <v>438</v>
      </c>
      <c r="N7" s="17">
        <f>SUM(E7-M7)</f>
        <v>14162</v>
      </c>
      <c r="O7" s="18" t="s">
        <v>126</v>
      </c>
    </row>
    <row r="8" spans="1:15" ht="20.25" customHeight="1">
      <c r="A8" s="13">
        <v>2</v>
      </c>
      <c r="B8" s="14" t="s">
        <v>23</v>
      </c>
      <c r="C8" s="13" t="s">
        <v>24</v>
      </c>
      <c r="D8" s="13" t="s">
        <v>19</v>
      </c>
      <c r="E8" s="15">
        <v>13500</v>
      </c>
      <c r="F8" s="13"/>
      <c r="G8" s="13"/>
      <c r="H8" s="13"/>
      <c r="I8" s="13"/>
      <c r="J8" s="13"/>
      <c r="K8" s="16"/>
      <c r="L8" s="17"/>
      <c r="M8" s="17">
        <f>ROUND(E8*3%,0)</f>
        <v>405</v>
      </c>
      <c r="N8" s="17">
        <f t="shared" ref="N8:N52" si="0">SUM(E8-M8)</f>
        <v>13095</v>
      </c>
      <c r="O8" s="18" t="s">
        <v>127</v>
      </c>
    </row>
    <row r="9" spans="1:15" ht="20.25" customHeight="1">
      <c r="A9" s="13">
        <v>3</v>
      </c>
      <c r="B9" s="14" t="s">
        <v>25</v>
      </c>
      <c r="C9" s="13" t="s">
        <v>26</v>
      </c>
      <c r="D9" s="13" t="s">
        <v>27</v>
      </c>
      <c r="E9" s="15">
        <v>13400</v>
      </c>
      <c r="F9" s="13"/>
      <c r="G9" s="13"/>
      <c r="H9" s="13"/>
      <c r="I9" s="13"/>
      <c r="J9" s="13"/>
      <c r="K9" s="16"/>
      <c r="L9" s="17"/>
      <c r="M9" s="17">
        <f>ROUND(E9*3%,0)</f>
        <v>402</v>
      </c>
      <c r="N9" s="17">
        <f t="shared" si="0"/>
        <v>12998</v>
      </c>
      <c r="O9" s="18"/>
    </row>
    <row r="10" spans="1:15" ht="20.25" customHeight="1">
      <c r="A10" s="13">
        <v>4</v>
      </c>
      <c r="B10" s="14" t="s">
        <v>28</v>
      </c>
      <c r="C10" s="13" t="s">
        <v>29</v>
      </c>
      <c r="D10" s="13" t="s">
        <v>22</v>
      </c>
      <c r="E10" s="15">
        <v>14600</v>
      </c>
      <c r="F10" s="13"/>
      <c r="G10" s="13"/>
      <c r="H10" s="13"/>
      <c r="I10" s="13"/>
      <c r="J10" s="13"/>
      <c r="K10" s="16"/>
      <c r="L10" s="17"/>
      <c r="M10" s="17">
        <f>ROUND(E10*3%,0)</f>
        <v>438</v>
      </c>
      <c r="N10" s="17">
        <f t="shared" si="0"/>
        <v>14162</v>
      </c>
      <c r="O10" s="18"/>
    </row>
    <row r="11" spans="1:15" ht="20.25" customHeight="1">
      <c r="A11" s="13">
        <v>5</v>
      </c>
      <c r="B11" s="14" t="s">
        <v>30</v>
      </c>
      <c r="C11" s="13" t="s">
        <v>31</v>
      </c>
      <c r="D11" s="13" t="s">
        <v>32</v>
      </c>
      <c r="E11" s="15">
        <v>16500</v>
      </c>
      <c r="F11" s="13"/>
      <c r="G11" s="13"/>
      <c r="H11" s="13"/>
      <c r="I11" s="13"/>
      <c r="J11" s="13"/>
      <c r="K11" s="16"/>
      <c r="L11" s="17"/>
      <c r="M11" s="17">
        <v>450</v>
      </c>
      <c r="N11" s="17">
        <f t="shared" si="0"/>
        <v>16050</v>
      </c>
      <c r="O11" s="18" t="s">
        <v>128</v>
      </c>
    </row>
    <row r="12" spans="1:15" ht="20.25" customHeight="1">
      <c r="A12" s="13">
        <v>6</v>
      </c>
      <c r="B12" s="14" t="s">
        <v>33</v>
      </c>
      <c r="C12" s="13" t="s">
        <v>34</v>
      </c>
      <c r="D12" s="13" t="s">
        <v>32</v>
      </c>
      <c r="E12" s="15">
        <v>17300</v>
      </c>
      <c r="F12" s="13"/>
      <c r="G12" s="13"/>
      <c r="H12" s="13"/>
      <c r="I12" s="13"/>
      <c r="J12" s="13"/>
      <c r="K12" s="16"/>
      <c r="L12" s="17"/>
      <c r="M12" s="17">
        <v>450</v>
      </c>
      <c r="N12" s="17">
        <f t="shared" si="0"/>
        <v>16850</v>
      </c>
      <c r="O12" s="18" t="s">
        <v>129</v>
      </c>
    </row>
    <row r="13" spans="1:15" ht="20.25" customHeight="1">
      <c r="A13" s="13">
        <v>7</v>
      </c>
      <c r="B13" s="14" t="s">
        <v>35</v>
      </c>
      <c r="C13" s="13" t="s">
        <v>36</v>
      </c>
      <c r="D13" s="13" t="s">
        <v>37</v>
      </c>
      <c r="E13" s="15">
        <v>19000</v>
      </c>
      <c r="F13" s="13"/>
      <c r="G13" s="13"/>
      <c r="H13" s="13"/>
      <c r="I13" s="13"/>
      <c r="J13" s="13"/>
      <c r="K13" s="16"/>
      <c r="L13" s="17"/>
      <c r="M13" s="17">
        <v>450</v>
      </c>
      <c r="N13" s="17">
        <f t="shared" si="0"/>
        <v>18550</v>
      </c>
      <c r="O13" s="18" t="s">
        <v>130</v>
      </c>
    </row>
    <row r="14" spans="1:15" ht="20.25" customHeight="1">
      <c r="A14" s="13">
        <v>8</v>
      </c>
      <c r="B14" s="14" t="s">
        <v>38</v>
      </c>
      <c r="C14" s="13" t="s">
        <v>39</v>
      </c>
      <c r="D14" s="13" t="s">
        <v>32</v>
      </c>
      <c r="E14" s="15">
        <v>25000</v>
      </c>
      <c r="F14" s="13"/>
      <c r="G14" s="13"/>
      <c r="H14" s="13"/>
      <c r="I14" s="13"/>
      <c r="J14" s="13"/>
      <c r="K14" s="16"/>
      <c r="L14" s="17"/>
      <c r="M14" s="17">
        <v>450</v>
      </c>
      <c r="N14" s="17">
        <f t="shared" si="0"/>
        <v>24550</v>
      </c>
      <c r="O14" s="18"/>
    </row>
    <row r="15" spans="1:15" ht="20.25" customHeight="1">
      <c r="A15" s="13">
        <v>9</v>
      </c>
      <c r="B15" s="14" t="s">
        <v>40</v>
      </c>
      <c r="C15" s="13" t="s">
        <v>41</v>
      </c>
      <c r="D15" s="13" t="s">
        <v>32</v>
      </c>
      <c r="E15" s="15">
        <v>20500</v>
      </c>
      <c r="F15" s="13"/>
      <c r="G15" s="13"/>
      <c r="H15" s="13"/>
      <c r="I15" s="13"/>
      <c r="J15" s="13"/>
      <c r="K15" s="16"/>
      <c r="L15" s="17"/>
      <c r="M15" s="17">
        <v>450</v>
      </c>
      <c r="N15" s="17">
        <f t="shared" si="0"/>
        <v>20050</v>
      </c>
      <c r="O15" s="18" t="s">
        <v>131</v>
      </c>
    </row>
    <row r="16" spans="1:15" ht="20.25" customHeight="1">
      <c r="A16" s="13">
        <v>10</v>
      </c>
      <c r="B16" s="14" t="s">
        <v>42</v>
      </c>
      <c r="C16" s="13" t="s">
        <v>43</v>
      </c>
      <c r="D16" s="13" t="s">
        <v>44</v>
      </c>
      <c r="E16" s="15">
        <v>25000</v>
      </c>
      <c r="F16" s="13"/>
      <c r="G16" s="13"/>
      <c r="H16" s="13"/>
      <c r="I16" s="13"/>
      <c r="J16" s="13"/>
      <c r="K16" s="16"/>
      <c r="L16" s="17"/>
      <c r="M16" s="17">
        <v>450</v>
      </c>
      <c r="N16" s="17">
        <f t="shared" si="0"/>
        <v>24550</v>
      </c>
      <c r="O16" s="18"/>
    </row>
    <row r="17" spans="1:15" ht="20.25" customHeight="1">
      <c r="A17" s="13">
        <v>11</v>
      </c>
      <c r="B17" s="14" t="s">
        <v>45</v>
      </c>
      <c r="C17" s="13" t="s">
        <v>46</v>
      </c>
      <c r="D17" s="13" t="s">
        <v>44</v>
      </c>
      <c r="E17" s="15">
        <v>19700</v>
      </c>
      <c r="F17" s="13"/>
      <c r="G17" s="13"/>
      <c r="H17" s="13"/>
      <c r="I17" s="13"/>
      <c r="J17" s="13"/>
      <c r="K17" s="16"/>
      <c r="L17" s="17"/>
      <c r="M17" s="17">
        <v>450</v>
      </c>
      <c r="N17" s="17">
        <f t="shared" si="0"/>
        <v>19250</v>
      </c>
      <c r="O17" s="18" t="s">
        <v>132</v>
      </c>
    </row>
    <row r="18" spans="1:15" ht="20.25" customHeight="1">
      <c r="A18" s="13">
        <v>12</v>
      </c>
      <c r="B18" s="14" t="s">
        <v>47</v>
      </c>
      <c r="C18" s="13" t="s">
        <v>48</v>
      </c>
      <c r="D18" s="13" t="s">
        <v>44</v>
      </c>
      <c r="E18" s="15">
        <v>17600</v>
      </c>
      <c r="F18" s="13"/>
      <c r="G18" s="13"/>
      <c r="H18" s="13"/>
      <c r="I18" s="13"/>
      <c r="J18" s="13"/>
      <c r="K18" s="16"/>
      <c r="L18" s="17"/>
      <c r="M18" s="17">
        <v>450</v>
      </c>
      <c r="N18" s="17">
        <f t="shared" si="0"/>
        <v>17150</v>
      </c>
      <c r="O18" s="18" t="s">
        <v>126</v>
      </c>
    </row>
    <row r="19" spans="1:15" ht="20.25" customHeight="1">
      <c r="A19" s="13">
        <v>13</v>
      </c>
      <c r="B19" s="14" t="s">
        <v>49</v>
      </c>
      <c r="C19" s="13" t="s">
        <v>50</v>
      </c>
      <c r="D19" s="13" t="s">
        <v>37</v>
      </c>
      <c r="E19" s="15">
        <v>25000</v>
      </c>
      <c r="F19" s="13"/>
      <c r="G19" s="13"/>
      <c r="H19" s="13"/>
      <c r="I19" s="13"/>
      <c r="J19" s="13"/>
      <c r="K19" s="16"/>
      <c r="L19" s="17"/>
      <c r="M19" s="17">
        <v>450</v>
      </c>
      <c r="N19" s="17">
        <f t="shared" si="0"/>
        <v>24550</v>
      </c>
      <c r="O19" s="18"/>
    </row>
    <row r="20" spans="1:15" ht="20.25" customHeight="1">
      <c r="A20" s="13">
        <v>14</v>
      </c>
      <c r="B20" s="14" t="s">
        <v>51</v>
      </c>
      <c r="C20" s="13" t="s">
        <v>52</v>
      </c>
      <c r="D20" s="13" t="s">
        <v>44</v>
      </c>
      <c r="E20" s="15">
        <v>22700</v>
      </c>
      <c r="F20" s="13"/>
      <c r="G20" s="13"/>
      <c r="H20" s="13"/>
      <c r="I20" s="13"/>
      <c r="J20" s="13"/>
      <c r="K20" s="16"/>
      <c r="L20" s="17"/>
      <c r="M20" s="17">
        <v>450</v>
      </c>
      <c r="N20" s="17">
        <f t="shared" si="0"/>
        <v>22250</v>
      </c>
      <c r="O20" s="18" t="s">
        <v>132</v>
      </c>
    </row>
    <row r="21" spans="1:15" ht="20.25" customHeight="1">
      <c r="A21" s="13">
        <v>15</v>
      </c>
      <c r="B21" s="14" t="s">
        <v>53</v>
      </c>
      <c r="C21" s="13" t="s">
        <v>54</v>
      </c>
      <c r="D21" s="13" t="s">
        <v>55</v>
      </c>
      <c r="E21" s="15">
        <v>23500</v>
      </c>
      <c r="F21" s="13"/>
      <c r="G21" s="13"/>
      <c r="H21" s="13"/>
      <c r="I21" s="13"/>
      <c r="J21" s="13"/>
      <c r="K21" s="16"/>
      <c r="L21" s="17"/>
      <c r="M21" s="17">
        <v>450</v>
      </c>
      <c r="N21" s="17">
        <f t="shared" si="0"/>
        <v>23050</v>
      </c>
      <c r="O21" s="18" t="s">
        <v>133</v>
      </c>
    </row>
    <row r="22" spans="1:15" ht="20.25" customHeight="1">
      <c r="A22" s="13">
        <v>16</v>
      </c>
      <c r="B22" s="14" t="s">
        <v>56</v>
      </c>
      <c r="C22" s="13" t="s">
        <v>57</v>
      </c>
      <c r="D22" s="13" t="s">
        <v>58</v>
      </c>
      <c r="E22" s="15">
        <v>25000</v>
      </c>
      <c r="F22" s="13"/>
      <c r="G22" s="13"/>
      <c r="H22" s="13"/>
      <c r="I22" s="13"/>
      <c r="J22" s="13"/>
      <c r="K22" s="16"/>
      <c r="L22" s="17"/>
      <c r="M22" s="17">
        <v>450</v>
      </c>
      <c r="N22" s="17">
        <f t="shared" si="0"/>
        <v>24550</v>
      </c>
      <c r="O22" s="18"/>
    </row>
    <row r="23" spans="1:15" ht="20.25" customHeight="1">
      <c r="A23" s="13">
        <v>17</v>
      </c>
      <c r="B23" s="14" t="s">
        <v>60</v>
      </c>
      <c r="C23" s="13" t="s">
        <v>61</v>
      </c>
      <c r="D23" s="13" t="s">
        <v>44</v>
      </c>
      <c r="E23" s="15">
        <v>25000</v>
      </c>
      <c r="F23" s="13"/>
      <c r="G23" s="13"/>
      <c r="H23" s="13"/>
      <c r="I23" s="13"/>
      <c r="J23" s="13"/>
      <c r="K23" s="16"/>
      <c r="L23" s="17"/>
      <c r="M23" s="17">
        <v>450</v>
      </c>
      <c r="N23" s="17">
        <f t="shared" si="0"/>
        <v>24550</v>
      </c>
      <c r="O23" s="18"/>
    </row>
    <row r="24" spans="1:15" ht="20.25" customHeight="1">
      <c r="A24" s="13">
        <v>18</v>
      </c>
      <c r="B24" s="14" t="s">
        <v>62</v>
      </c>
      <c r="C24" s="13" t="s">
        <v>63</v>
      </c>
      <c r="D24" s="13" t="s">
        <v>44</v>
      </c>
      <c r="E24" s="15">
        <v>25000</v>
      </c>
      <c r="F24" s="13"/>
      <c r="G24" s="13"/>
      <c r="H24" s="13"/>
      <c r="I24" s="13"/>
      <c r="J24" s="13"/>
      <c r="K24" s="16"/>
      <c r="L24" s="17"/>
      <c r="M24" s="17">
        <v>450</v>
      </c>
      <c r="N24" s="17">
        <f t="shared" si="0"/>
        <v>24550</v>
      </c>
      <c r="O24" s="18"/>
    </row>
    <row r="25" spans="1:15" ht="20.25" customHeight="1">
      <c r="A25" s="13">
        <v>19</v>
      </c>
      <c r="B25" s="14" t="s">
        <v>64</v>
      </c>
      <c r="C25" s="13" t="s">
        <v>65</v>
      </c>
      <c r="D25" s="13" t="s">
        <v>44</v>
      </c>
      <c r="E25" s="15">
        <v>25000</v>
      </c>
      <c r="F25" s="13"/>
      <c r="G25" s="13"/>
      <c r="H25" s="13"/>
      <c r="I25" s="13"/>
      <c r="J25" s="13"/>
      <c r="K25" s="16"/>
      <c r="L25" s="17"/>
      <c r="M25" s="17">
        <v>450</v>
      </c>
      <c r="N25" s="17">
        <f t="shared" si="0"/>
        <v>24550</v>
      </c>
      <c r="O25" s="18"/>
    </row>
    <row r="26" spans="1:15" ht="20.25" customHeight="1">
      <c r="A26" s="13">
        <v>20</v>
      </c>
      <c r="B26" s="14" t="s">
        <v>66</v>
      </c>
      <c r="C26" s="13" t="s">
        <v>67</v>
      </c>
      <c r="D26" s="13" t="s">
        <v>44</v>
      </c>
      <c r="E26" s="15">
        <v>25000</v>
      </c>
      <c r="F26" s="13"/>
      <c r="G26" s="13"/>
      <c r="H26" s="13"/>
      <c r="I26" s="13"/>
      <c r="J26" s="13"/>
      <c r="K26" s="16"/>
      <c r="L26" s="17"/>
      <c r="M26" s="17">
        <v>450</v>
      </c>
      <c r="N26" s="17">
        <f t="shared" si="0"/>
        <v>24550</v>
      </c>
      <c r="O26" s="18"/>
    </row>
    <row r="27" spans="1:15" ht="20.25" customHeight="1">
      <c r="A27" s="13">
        <v>21</v>
      </c>
      <c r="B27" s="14" t="s">
        <v>68</v>
      </c>
      <c r="C27" s="13" t="s">
        <v>69</v>
      </c>
      <c r="D27" s="13" t="s">
        <v>44</v>
      </c>
      <c r="E27" s="15">
        <v>25000</v>
      </c>
      <c r="F27" s="13"/>
      <c r="G27" s="13"/>
      <c r="H27" s="13"/>
      <c r="I27" s="13"/>
      <c r="J27" s="13"/>
      <c r="K27" s="16"/>
      <c r="L27" s="17"/>
      <c r="M27" s="17">
        <v>450</v>
      </c>
      <c r="N27" s="17">
        <f t="shared" si="0"/>
        <v>24550</v>
      </c>
      <c r="O27" s="18"/>
    </row>
    <row r="28" spans="1:15" ht="20.25" customHeight="1">
      <c r="A28" s="13">
        <v>22</v>
      </c>
      <c r="B28" s="14" t="s">
        <v>70</v>
      </c>
      <c r="C28" s="13" t="s">
        <v>71</v>
      </c>
      <c r="D28" s="13" t="s">
        <v>72</v>
      </c>
      <c r="E28" s="15">
        <f>G28*H28</f>
        <v>9400</v>
      </c>
      <c r="F28" s="13"/>
      <c r="G28" s="13">
        <v>400</v>
      </c>
      <c r="H28" s="19">
        <v>23.5</v>
      </c>
      <c r="I28" s="13"/>
      <c r="J28" s="13"/>
      <c r="K28" s="16"/>
      <c r="L28" s="17"/>
      <c r="M28" s="15">
        <f>ROUND(E28*3%,0)</f>
        <v>282</v>
      </c>
      <c r="N28" s="15">
        <f>SUM(E28-M28)</f>
        <v>9118</v>
      </c>
      <c r="O28" s="17"/>
    </row>
    <row r="29" spans="1:15" ht="20.25" customHeight="1">
      <c r="A29" s="13">
        <v>23</v>
      </c>
      <c r="B29" s="14" t="s">
        <v>73</v>
      </c>
      <c r="C29" s="13" t="s">
        <v>74</v>
      </c>
      <c r="D29" s="13" t="s">
        <v>72</v>
      </c>
      <c r="E29" s="15">
        <f>+G29*H29</f>
        <v>7200</v>
      </c>
      <c r="F29" s="13"/>
      <c r="G29" s="13">
        <v>360</v>
      </c>
      <c r="H29" s="13">
        <v>20</v>
      </c>
      <c r="I29" s="13"/>
      <c r="J29" s="13"/>
      <c r="K29" s="16"/>
      <c r="L29" s="17"/>
      <c r="M29" s="15">
        <f>ROUND(E29*3%,0)</f>
        <v>216</v>
      </c>
      <c r="N29" s="15">
        <f t="shared" si="0"/>
        <v>6984</v>
      </c>
      <c r="O29" s="17"/>
    </row>
    <row r="30" spans="1:15" ht="20.25" customHeight="1">
      <c r="A30" s="13">
        <v>24</v>
      </c>
      <c r="B30" s="14" t="s">
        <v>75</v>
      </c>
      <c r="C30" s="13" t="s">
        <v>76</v>
      </c>
      <c r="D30" s="13" t="s">
        <v>44</v>
      </c>
      <c r="E30" s="15">
        <v>25000</v>
      </c>
      <c r="F30" s="13"/>
      <c r="G30" s="13"/>
      <c r="H30" s="13"/>
      <c r="I30" s="13"/>
      <c r="J30" s="13"/>
      <c r="K30" s="16"/>
      <c r="L30" s="17"/>
      <c r="M30" s="17">
        <v>450</v>
      </c>
      <c r="N30" s="17">
        <f t="shared" si="0"/>
        <v>24550</v>
      </c>
      <c r="O30" s="18"/>
    </row>
    <row r="31" spans="1:15" ht="20.25" customHeight="1">
      <c r="A31" s="13">
        <v>25</v>
      </c>
      <c r="B31" s="14" t="s">
        <v>77</v>
      </c>
      <c r="C31" s="13" t="s">
        <v>78</v>
      </c>
      <c r="D31" s="13" t="s">
        <v>79</v>
      </c>
      <c r="E31" s="15">
        <v>15500</v>
      </c>
      <c r="F31" s="20" t="s">
        <v>80</v>
      </c>
      <c r="G31" s="13"/>
      <c r="H31" s="13"/>
      <c r="I31" s="13"/>
      <c r="J31" s="13"/>
      <c r="K31" s="16"/>
      <c r="L31" s="17"/>
      <c r="M31" s="17">
        <v>450</v>
      </c>
      <c r="N31" s="17">
        <f t="shared" si="0"/>
        <v>15050</v>
      </c>
      <c r="O31" s="18" t="s">
        <v>128</v>
      </c>
    </row>
    <row r="32" spans="1:15" ht="20.25" customHeight="1">
      <c r="A32" s="13">
        <v>26</v>
      </c>
      <c r="B32" s="14" t="s">
        <v>81</v>
      </c>
      <c r="C32" s="13" t="s">
        <v>82</v>
      </c>
      <c r="D32" s="13" t="s">
        <v>44</v>
      </c>
      <c r="E32" s="15">
        <v>25000</v>
      </c>
      <c r="F32" s="20" t="s">
        <v>83</v>
      </c>
      <c r="G32" s="13"/>
      <c r="H32" s="13"/>
      <c r="I32" s="13"/>
      <c r="J32" s="13"/>
      <c r="K32" s="16"/>
      <c r="L32" s="17"/>
      <c r="M32" s="17">
        <v>450</v>
      </c>
      <c r="N32" s="17">
        <f t="shared" si="0"/>
        <v>24550</v>
      </c>
      <c r="O32" s="36"/>
    </row>
    <row r="33" spans="1:15" s="2" customFormat="1" ht="20.25" customHeight="1">
      <c r="A33" s="13">
        <v>27</v>
      </c>
      <c r="B33" s="21" t="s">
        <v>84</v>
      </c>
      <c r="C33" s="22" t="s">
        <v>85</v>
      </c>
      <c r="D33" s="22" t="s">
        <v>32</v>
      </c>
      <c r="E33" s="23">
        <v>15500</v>
      </c>
      <c r="F33" s="20" t="s">
        <v>83</v>
      </c>
      <c r="G33" s="22"/>
      <c r="H33" s="22"/>
      <c r="I33" s="22"/>
      <c r="J33" s="22"/>
      <c r="K33" s="16"/>
      <c r="L33" s="17"/>
      <c r="M33" s="17">
        <v>450</v>
      </c>
      <c r="N33" s="17">
        <f t="shared" si="0"/>
        <v>15050</v>
      </c>
      <c r="O33" s="18" t="s">
        <v>128</v>
      </c>
    </row>
    <row r="34" spans="1:15" ht="20.25" customHeight="1">
      <c r="A34" s="13">
        <v>28</v>
      </c>
      <c r="B34" s="14" t="s">
        <v>86</v>
      </c>
      <c r="C34" s="13" t="s">
        <v>87</v>
      </c>
      <c r="D34" s="13" t="s">
        <v>44</v>
      </c>
      <c r="E34" s="15">
        <v>25000</v>
      </c>
      <c r="F34" s="25" t="s">
        <v>88</v>
      </c>
      <c r="G34" s="13"/>
      <c r="H34" s="13"/>
      <c r="I34" s="13"/>
      <c r="J34" s="13"/>
      <c r="K34" s="16"/>
      <c r="L34" s="17"/>
      <c r="M34" s="17">
        <v>450</v>
      </c>
      <c r="N34" s="17">
        <f t="shared" si="0"/>
        <v>24550</v>
      </c>
      <c r="O34" s="36"/>
    </row>
    <row r="35" spans="1:15" ht="20.25" customHeight="1">
      <c r="A35" s="13">
        <v>29</v>
      </c>
      <c r="B35" s="14" t="s">
        <v>89</v>
      </c>
      <c r="C35" s="13" t="s">
        <v>90</v>
      </c>
      <c r="D35" s="13" t="s">
        <v>72</v>
      </c>
      <c r="E35" s="15">
        <f>+G35*H35</f>
        <v>8360</v>
      </c>
      <c r="F35" s="25" t="s">
        <v>88</v>
      </c>
      <c r="G35" s="13">
        <v>380</v>
      </c>
      <c r="H35" s="13">
        <v>22</v>
      </c>
      <c r="I35" s="13"/>
      <c r="J35" s="13"/>
      <c r="K35" s="16"/>
      <c r="L35" s="17"/>
      <c r="M35" s="15">
        <f>ROUND(E35*3%,0)</f>
        <v>251</v>
      </c>
      <c r="N35" s="15">
        <f t="shared" si="0"/>
        <v>8109</v>
      </c>
      <c r="O35" s="33"/>
    </row>
    <row r="36" spans="1:15" ht="20.25" customHeight="1">
      <c r="A36" s="13">
        <v>30</v>
      </c>
      <c r="B36" s="14" t="s">
        <v>91</v>
      </c>
      <c r="C36" s="13" t="s">
        <v>92</v>
      </c>
      <c r="D36" s="13" t="s">
        <v>32</v>
      </c>
      <c r="E36" s="15">
        <v>16200</v>
      </c>
      <c r="F36" s="25" t="s">
        <v>93</v>
      </c>
      <c r="G36" s="13"/>
      <c r="H36" s="13"/>
      <c r="I36" s="13"/>
      <c r="J36" s="13"/>
      <c r="K36" s="16"/>
      <c r="L36" s="17"/>
      <c r="M36" s="17">
        <v>450</v>
      </c>
      <c r="N36" s="17">
        <f t="shared" si="0"/>
        <v>15750</v>
      </c>
      <c r="O36" s="18" t="s">
        <v>134</v>
      </c>
    </row>
    <row r="37" spans="1:15" ht="20.25" customHeight="1">
      <c r="A37" s="13">
        <v>31</v>
      </c>
      <c r="B37" s="14" t="s">
        <v>94</v>
      </c>
      <c r="C37" s="26">
        <v>6016200526744</v>
      </c>
      <c r="D37" s="13" t="s">
        <v>95</v>
      </c>
      <c r="E37" s="15">
        <f>G37*H37</f>
        <v>7260</v>
      </c>
      <c r="F37" s="25" t="s">
        <v>96</v>
      </c>
      <c r="G37" s="13">
        <v>330</v>
      </c>
      <c r="H37" s="13">
        <v>22</v>
      </c>
      <c r="I37" s="13"/>
      <c r="J37" s="13"/>
      <c r="K37" s="16"/>
      <c r="L37" s="17"/>
      <c r="M37" s="17">
        <f t="shared" ref="M37:M44" si="1">ROUND(E37*3%,0)</f>
        <v>218</v>
      </c>
      <c r="N37" s="17">
        <f t="shared" si="0"/>
        <v>7042</v>
      </c>
      <c r="O37" s="36"/>
    </row>
    <row r="38" spans="1:15" ht="20.25" customHeight="1">
      <c r="A38" s="13">
        <v>32</v>
      </c>
      <c r="B38" s="14" t="s">
        <v>97</v>
      </c>
      <c r="C38" s="26">
        <v>6016200526680</v>
      </c>
      <c r="D38" s="13" t="s">
        <v>95</v>
      </c>
      <c r="E38" s="15">
        <f t="shared" ref="E38:E44" si="2">G38*H38</f>
        <v>7590</v>
      </c>
      <c r="F38" s="25" t="s">
        <v>96</v>
      </c>
      <c r="G38" s="13">
        <v>330</v>
      </c>
      <c r="H38" s="13">
        <v>23</v>
      </c>
      <c r="I38" s="13"/>
      <c r="J38" s="13"/>
      <c r="K38" s="16"/>
      <c r="L38" s="17"/>
      <c r="M38" s="17">
        <f t="shared" si="1"/>
        <v>228</v>
      </c>
      <c r="N38" s="17">
        <f t="shared" si="0"/>
        <v>7362</v>
      </c>
      <c r="O38" s="36"/>
    </row>
    <row r="39" spans="1:15" ht="20.25" customHeight="1">
      <c r="A39" s="13">
        <v>33</v>
      </c>
      <c r="B39" s="14" t="s">
        <v>98</v>
      </c>
      <c r="C39" s="26">
        <v>6016200526639</v>
      </c>
      <c r="D39" s="13" t="s">
        <v>95</v>
      </c>
      <c r="E39" s="15">
        <f t="shared" si="2"/>
        <v>7260</v>
      </c>
      <c r="F39" s="25" t="s">
        <v>96</v>
      </c>
      <c r="G39" s="13">
        <v>330</v>
      </c>
      <c r="H39" s="13">
        <v>22</v>
      </c>
      <c r="I39" s="13"/>
      <c r="J39" s="13"/>
      <c r="K39" s="16"/>
      <c r="L39" s="17"/>
      <c r="M39" s="17">
        <f t="shared" si="1"/>
        <v>218</v>
      </c>
      <c r="N39" s="17">
        <f t="shared" si="0"/>
        <v>7042</v>
      </c>
      <c r="O39" s="17"/>
    </row>
    <row r="40" spans="1:15" ht="20.25" customHeight="1">
      <c r="A40" s="13">
        <v>34</v>
      </c>
      <c r="B40" s="14" t="s">
        <v>99</v>
      </c>
      <c r="C40" s="26">
        <v>6016200526591</v>
      </c>
      <c r="D40" s="13" t="s">
        <v>95</v>
      </c>
      <c r="E40" s="15">
        <f t="shared" si="2"/>
        <v>7590</v>
      </c>
      <c r="F40" s="25" t="s">
        <v>96</v>
      </c>
      <c r="G40" s="13">
        <v>330</v>
      </c>
      <c r="H40" s="13">
        <v>23</v>
      </c>
      <c r="I40" s="13"/>
      <c r="J40" s="13"/>
      <c r="K40" s="16"/>
      <c r="L40" s="17"/>
      <c r="M40" s="17">
        <f t="shared" si="1"/>
        <v>228</v>
      </c>
      <c r="N40" s="17">
        <f t="shared" si="0"/>
        <v>7362</v>
      </c>
      <c r="O40" s="17"/>
    </row>
    <row r="41" spans="1:15" s="2" customFormat="1" ht="20.25" customHeight="1">
      <c r="A41" s="13">
        <v>35</v>
      </c>
      <c r="B41" s="29" t="s">
        <v>108</v>
      </c>
      <c r="C41" s="22" t="s">
        <v>109</v>
      </c>
      <c r="D41" s="22" t="s">
        <v>72</v>
      </c>
      <c r="E41" s="15">
        <f t="shared" si="2"/>
        <v>9600</v>
      </c>
      <c r="F41" s="30" t="s">
        <v>107</v>
      </c>
      <c r="G41" s="22">
        <v>400</v>
      </c>
      <c r="H41" s="22">
        <v>24</v>
      </c>
      <c r="I41" s="22"/>
      <c r="J41" s="22"/>
      <c r="K41" s="31"/>
      <c r="L41" s="24"/>
      <c r="M41" s="17">
        <f t="shared" si="1"/>
        <v>288</v>
      </c>
      <c r="N41" s="17">
        <f t="shared" si="0"/>
        <v>9312</v>
      </c>
      <c r="O41" s="17"/>
    </row>
    <row r="42" spans="1:15" s="2" customFormat="1" ht="20.25" customHeight="1">
      <c r="A42" s="13">
        <v>36</v>
      </c>
      <c r="B42" s="29" t="s">
        <v>110</v>
      </c>
      <c r="C42" s="32">
        <v>6016300837717</v>
      </c>
      <c r="D42" s="22" t="s">
        <v>95</v>
      </c>
      <c r="E42" s="15">
        <f t="shared" si="2"/>
        <v>7590</v>
      </c>
      <c r="F42" s="30" t="s">
        <v>111</v>
      </c>
      <c r="G42" s="22">
        <v>330</v>
      </c>
      <c r="H42" s="22">
        <v>23</v>
      </c>
      <c r="I42" s="22"/>
      <c r="J42" s="22"/>
      <c r="K42" s="31"/>
      <c r="L42" s="24"/>
      <c r="M42" s="17">
        <f t="shared" si="1"/>
        <v>228</v>
      </c>
      <c r="N42" s="17">
        <f t="shared" si="0"/>
        <v>7362</v>
      </c>
      <c r="O42" s="17"/>
    </row>
    <row r="43" spans="1:15" s="2" customFormat="1" ht="20.25" customHeight="1">
      <c r="A43" s="13">
        <v>37</v>
      </c>
      <c r="B43" s="29" t="s">
        <v>112</v>
      </c>
      <c r="C43" s="32">
        <v>6016300837709</v>
      </c>
      <c r="D43" s="22" t="s">
        <v>95</v>
      </c>
      <c r="E43" s="15">
        <f t="shared" si="2"/>
        <v>7590</v>
      </c>
      <c r="F43" s="30" t="s">
        <v>111</v>
      </c>
      <c r="G43" s="22">
        <v>330</v>
      </c>
      <c r="H43" s="22">
        <v>23</v>
      </c>
      <c r="I43" s="22"/>
      <c r="J43" s="22"/>
      <c r="K43" s="31"/>
      <c r="L43" s="24"/>
      <c r="M43" s="17">
        <f t="shared" si="1"/>
        <v>228</v>
      </c>
      <c r="N43" s="17">
        <f t="shared" si="0"/>
        <v>7362</v>
      </c>
      <c r="O43" s="17"/>
    </row>
    <row r="44" spans="1:15" s="2" customFormat="1" ht="20.25" customHeight="1">
      <c r="A44" s="13">
        <v>38</v>
      </c>
      <c r="B44" s="29" t="s">
        <v>113</v>
      </c>
      <c r="C44" s="32">
        <v>6016300837750</v>
      </c>
      <c r="D44" s="22" t="s">
        <v>95</v>
      </c>
      <c r="E44" s="15">
        <f t="shared" si="2"/>
        <v>7260</v>
      </c>
      <c r="F44" s="30" t="s">
        <v>111</v>
      </c>
      <c r="G44" s="22">
        <v>330</v>
      </c>
      <c r="H44" s="22">
        <v>22</v>
      </c>
      <c r="I44" s="22"/>
      <c r="J44" s="22"/>
      <c r="K44" s="31"/>
      <c r="L44" s="24"/>
      <c r="M44" s="17">
        <f t="shared" si="1"/>
        <v>218</v>
      </c>
      <c r="N44" s="17">
        <f t="shared" si="0"/>
        <v>7042</v>
      </c>
      <c r="O44" s="22"/>
    </row>
    <row r="45" spans="1:15" ht="20.25" customHeight="1">
      <c r="A45" s="13">
        <v>39</v>
      </c>
      <c r="B45" s="14" t="s">
        <v>100</v>
      </c>
      <c r="C45" s="26">
        <v>1101500149087</v>
      </c>
      <c r="D45" s="13" t="s">
        <v>44</v>
      </c>
      <c r="E45" s="15">
        <v>25000</v>
      </c>
      <c r="F45" s="27" t="s">
        <v>101</v>
      </c>
      <c r="G45" s="13"/>
      <c r="H45" s="13"/>
      <c r="I45" s="13"/>
      <c r="J45" s="13"/>
      <c r="K45" s="16"/>
      <c r="L45" s="17"/>
      <c r="M45" s="17">
        <v>450</v>
      </c>
      <c r="N45" s="17">
        <f t="shared" si="0"/>
        <v>24550</v>
      </c>
      <c r="O45" s="18"/>
    </row>
    <row r="46" spans="1:15" ht="20.25" customHeight="1">
      <c r="A46" s="13">
        <v>40</v>
      </c>
      <c r="B46" s="14" t="s">
        <v>102</v>
      </c>
      <c r="C46" s="26">
        <v>220062001228</v>
      </c>
      <c r="D46" s="13" t="s">
        <v>95</v>
      </c>
      <c r="E46" s="15">
        <f>+G46*H46</f>
        <v>7260</v>
      </c>
      <c r="F46" s="27" t="s">
        <v>106</v>
      </c>
      <c r="G46" s="13">
        <v>330</v>
      </c>
      <c r="H46" s="13">
        <v>22</v>
      </c>
      <c r="I46" s="13"/>
      <c r="J46" s="13"/>
      <c r="K46" s="16"/>
      <c r="L46" s="17"/>
      <c r="M46" s="17">
        <f t="shared" ref="M46:M52" si="3">ROUND(E46*3%,0)</f>
        <v>218</v>
      </c>
      <c r="N46" s="17">
        <f t="shared" si="0"/>
        <v>7042</v>
      </c>
      <c r="O46" s="18"/>
    </row>
    <row r="47" spans="1:15" s="8" customFormat="1" ht="20.25" customHeight="1">
      <c r="A47" s="13">
        <v>41</v>
      </c>
      <c r="B47" s="21" t="s">
        <v>114</v>
      </c>
      <c r="C47" s="32">
        <v>1419900221235</v>
      </c>
      <c r="D47" s="22" t="s">
        <v>32</v>
      </c>
      <c r="E47" s="23">
        <v>12000</v>
      </c>
      <c r="F47" s="30" t="s">
        <v>115</v>
      </c>
      <c r="G47" s="18"/>
      <c r="H47" s="18"/>
      <c r="I47" s="18"/>
      <c r="J47" s="18"/>
      <c r="K47" s="35"/>
      <c r="L47" s="36"/>
      <c r="M47" s="17">
        <f t="shared" si="3"/>
        <v>360</v>
      </c>
      <c r="N47" s="17">
        <f t="shared" si="0"/>
        <v>11640</v>
      </c>
      <c r="O47" s="18"/>
    </row>
    <row r="48" spans="1:15" s="8" customFormat="1" ht="20.25" customHeight="1">
      <c r="A48" s="18">
        <v>42</v>
      </c>
      <c r="B48" s="37" t="s">
        <v>118</v>
      </c>
      <c r="C48" s="38">
        <v>1229900643638</v>
      </c>
      <c r="D48" s="18" t="s">
        <v>44</v>
      </c>
      <c r="E48" s="33">
        <v>15000</v>
      </c>
      <c r="F48" s="34" t="s">
        <v>119</v>
      </c>
      <c r="G48" s="18"/>
      <c r="H48" s="18"/>
      <c r="I48" s="18"/>
      <c r="J48" s="18"/>
      <c r="K48" s="35"/>
      <c r="L48" s="36"/>
      <c r="M48" s="36">
        <f t="shared" si="3"/>
        <v>450</v>
      </c>
      <c r="N48" s="36">
        <f t="shared" si="0"/>
        <v>14550</v>
      </c>
      <c r="O48" s="18" t="s">
        <v>125</v>
      </c>
    </row>
    <row r="49" spans="1:15" s="8" customFormat="1" ht="20.25" customHeight="1">
      <c r="A49" s="18">
        <v>43</v>
      </c>
      <c r="B49" s="37" t="s">
        <v>120</v>
      </c>
      <c r="C49" s="38">
        <v>3402000037896</v>
      </c>
      <c r="D49" s="18" t="s">
        <v>44</v>
      </c>
      <c r="E49" s="33">
        <v>15000</v>
      </c>
      <c r="F49" s="34" t="s">
        <v>119</v>
      </c>
      <c r="G49" s="18"/>
      <c r="H49" s="18"/>
      <c r="I49" s="18"/>
      <c r="J49" s="18"/>
      <c r="K49" s="35"/>
      <c r="L49" s="36"/>
      <c r="M49" s="36">
        <f t="shared" si="3"/>
        <v>450</v>
      </c>
      <c r="N49" s="36">
        <f t="shared" si="0"/>
        <v>14550</v>
      </c>
      <c r="O49" s="18" t="s">
        <v>125</v>
      </c>
    </row>
    <row r="50" spans="1:15" s="8" customFormat="1" ht="20.25" customHeight="1">
      <c r="A50" s="18">
        <v>44</v>
      </c>
      <c r="B50" s="37" t="s">
        <v>121</v>
      </c>
      <c r="C50" s="38">
        <v>3341600658671</v>
      </c>
      <c r="D50" s="18" t="s">
        <v>44</v>
      </c>
      <c r="E50" s="33">
        <v>15000</v>
      </c>
      <c r="F50" s="34" t="s">
        <v>119</v>
      </c>
      <c r="G50" s="18"/>
      <c r="H50" s="18"/>
      <c r="I50" s="18"/>
      <c r="J50" s="18"/>
      <c r="K50" s="35"/>
      <c r="L50" s="36"/>
      <c r="M50" s="36">
        <f t="shared" si="3"/>
        <v>450</v>
      </c>
      <c r="N50" s="36">
        <f t="shared" si="0"/>
        <v>14550</v>
      </c>
      <c r="O50" s="18" t="s">
        <v>125</v>
      </c>
    </row>
    <row r="51" spans="1:15" s="8" customFormat="1" ht="20.25" customHeight="1">
      <c r="A51" s="18">
        <v>45</v>
      </c>
      <c r="B51" s="37" t="s">
        <v>122</v>
      </c>
      <c r="C51" s="38">
        <v>3930100204585</v>
      </c>
      <c r="D51" s="18" t="s">
        <v>19</v>
      </c>
      <c r="E51" s="33">
        <v>15000</v>
      </c>
      <c r="F51" s="34" t="s">
        <v>119</v>
      </c>
      <c r="G51" s="18"/>
      <c r="H51" s="18"/>
      <c r="I51" s="18"/>
      <c r="J51" s="18"/>
      <c r="K51" s="35"/>
      <c r="L51" s="36"/>
      <c r="M51" s="36">
        <f t="shared" si="3"/>
        <v>450</v>
      </c>
      <c r="N51" s="36">
        <f t="shared" si="0"/>
        <v>14550</v>
      </c>
      <c r="O51" s="18" t="s">
        <v>125</v>
      </c>
    </row>
    <row r="52" spans="1:15" s="8" customFormat="1" ht="20.25" customHeight="1">
      <c r="A52" s="18">
        <v>46</v>
      </c>
      <c r="B52" s="37" t="s">
        <v>123</v>
      </c>
      <c r="C52" s="38">
        <v>1229900813291</v>
      </c>
      <c r="D52" s="18" t="s">
        <v>72</v>
      </c>
      <c r="E52" s="33">
        <f>G52*H52</f>
        <v>4550</v>
      </c>
      <c r="F52" s="34" t="s">
        <v>119</v>
      </c>
      <c r="G52" s="18">
        <v>325</v>
      </c>
      <c r="H52" s="18">
        <v>14</v>
      </c>
      <c r="I52" s="18"/>
      <c r="J52" s="18"/>
      <c r="K52" s="35"/>
      <c r="L52" s="36"/>
      <c r="M52" s="36">
        <f t="shared" si="3"/>
        <v>137</v>
      </c>
      <c r="N52" s="36">
        <f t="shared" si="0"/>
        <v>4413</v>
      </c>
      <c r="O52" s="18" t="s">
        <v>125</v>
      </c>
    </row>
    <row r="53" spans="1:15" s="44" customFormat="1" ht="20.25" customHeight="1">
      <c r="A53" s="378" t="s">
        <v>103</v>
      </c>
      <c r="B53" s="379"/>
      <c r="C53" s="379"/>
      <c r="D53" s="380"/>
      <c r="E53" s="28">
        <f>SUM(E7:E52)</f>
        <v>755610</v>
      </c>
      <c r="F53" s="28"/>
      <c r="G53" s="28"/>
      <c r="H53" s="28"/>
      <c r="I53" s="28"/>
      <c r="J53" s="28"/>
      <c r="K53" s="28"/>
      <c r="L53" s="28"/>
      <c r="M53" s="28">
        <f>SUM(M7:M52)</f>
        <v>17601</v>
      </c>
      <c r="N53" s="28">
        <f>SUM(N7:N52)</f>
        <v>738009</v>
      </c>
      <c r="O53" s="18"/>
    </row>
    <row r="54" spans="1:15" ht="20.25" customHeight="1">
      <c r="A54" s="3"/>
      <c r="B54" s="3"/>
      <c r="C54" s="3"/>
      <c r="D54" s="3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5"/>
    </row>
    <row r="55" spans="1:15" ht="20.25" customHeight="1">
      <c r="A55" s="3"/>
      <c r="B55" s="41" t="s">
        <v>12</v>
      </c>
      <c r="C55" s="3"/>
      <c r="D55" s="3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5"/>
    </row>
    <row r="56" spans="1:15" ht="20.25" customHeight="1">
      <c r="A56" s="3"/>
      <c r="B56" s="40" t="s">
        <v>104</v>
      </c>
      <c r="C56" s="40" t="s">
        <v>59</v>
      </c>
      <c r="D56" s="40" t="s">
        <v>116</v>
      </c>
      <c r="E56" s="40" t="s">
        <v>105</v>
      </c>
      <c r="F56" s="3"/>
      <c r="G56" s="3"/>
      <c r="H56" s="3"/>
      <c r="I56" s="3"/>
      <c r="J56" s="3"/>
      <c r="K56" s="3"/>
      <c r="L56" s="3"/>
      <c r="M56" s="45"/>
      <c r="N56" s="3"/>
      <c r="O56" s="5"/>
    </row>
    <row r="57" spans="1:15" ht="20.25" customHeight="1">
      <c r="A57" s="3"/>
      <c r="B57" s="40"/>
      <c r="C57" s="40"/>
      <c r="D57" s="40"/>
      <c r="E57" s="4"/>
      <c r="F57" s="3"/>
      <c r="G57" s="3"/>
      <c r="H57" s="3"/>
      <c r="I57" s="3"/>
      <c r="J57" s="3"/>
      <c r="K57" s="3"/>
      <c r="L57" s="3"/>
      <c r="M57" s="3"/>
      <c r="N57" s="3"/>
      <c r="O57" s="5"/>
    </row>
    <row r="58" spans="1:15" ht="21.75" customHeight="1">
      <c r="A58" s="5"/>
      <c r="B58" s="7"/>
      <c r="C58" s="5"/>
      <c r="D58" s="5"/>
      <c r="E58" s="5"/>
      <c r="F58" s="6"/>
    </row>
  </sheetData>
  <mergeCells count="15">
    <mergeCell ref="A53:D53"/>
    <mergeCell ref="A1:O1"/>
    <mergeCell ref="A2:O2"/>
    <mergeCell ref="A3:O3"/>
    <mergeCell ref="A5:A6"/>
    <mergeCell ref="B5:B6"/>
    <mergeCell ref="C5:C6"/>
    <mergeCell ref="D5:D6"/>
    <mergeCell ref="E5:E6"/>
    <mergeCell ref="F5:F6"/>
    <mergeCell ref="G5:H5"/>
    <mergeCell ref="I5:J5"/>
    <mergeCell ref="K5:M5"/>
    <mergeCell ref="N5:N6"/>
    <mergeCell ref="O5:O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4A9C-F3F2-4413-84DA-71651DDE9391}">
  <dimension ref="A1:P60"/>
  <sheetViews>
    <sheetView view="pageBreakPreview" zoomScale="120" zoomScaleNormal="100" zoomScaleSheetLayoutView="120" workbookViewId="0">
      <pane xSplit="6" ySplit="6" topLeftCell="G22" activePane="bottomRight" state="frozen"/>
      <selection pane="topRight" activeCell="G1" sqref="G1"/>
      <selection pane="bottomLeft" activeCell="A7" sqref="A7"/>
      <selection pane="bottomRight" activeCell="D57" sqref="D57:F60"/>
    </sheetView>
  </sheetViews>
  <sheetFormatPr defaultColWidth="9" defaultRowHeight="18.75"/>
  <cols>
    <col min="1" max="1" width="9" style="1"/>
    <col min="2" max="3" width="22.7109375" style="1" customWidth="1"/>
    <col min="4" max="5" width="17.5703125" style="1" customWidth="1"/>
    <col min="6" max="6" width="17.28515625" style="1" customWidth="1"/>
    <col min="7" max="7" width="15.7109375" style="1" hidden="1" customWidth="1"/>
    <col min="8" max="8" width="14.42578125" style="1" hidden="1" customWidth="1"/>
    <col min="9" max="9" width="11" style="1" hidden="1" customWidth="1"/>
    <col min="10" max="13" width="9" style="1" hidden="1" customWidth="1"/>
    <col min="14" max="14" width="15" style="1" customWidth="1"/>
    <col min="15" max="15" width="15" style="1" bestFit="1" customWidth="1"/>
    <col min="16" max="16" width="24.28515625" style="1" customWidth="1"/>
    <col min="17" max="16384" width="9" style="1"/>
  </cols>
  <sheetData>
    <row r="1" spans="1:16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</row>
    <row r="2" spans="1:16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</row>
    <row r="3" spans="1:16" ht="20.25" customHeight="1">
      <c r="A3" s="381" t="s">
        <v>117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</row>
    <row r="4" spans="1:16" ht="20.25" customHeight="1">
      <c r="A4" s="9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0.25" customHeight="1">
      <c r="A5" s="382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8" t="s">
        <v>9</v>
      </c>
      <c r="K5" s="399"/>
      <c r="L5" s="394" t="s">
        <v>10</v>
      </c>
      <c r="M5" s="394"/>
      <c r="N5" s="394"/>
      <c r="O5" s="395" t="s">
        <v>11</v>
      </c>
      <c r="P5" s="400" t="s">
        <v>12</v>
      </c>
    </row>
    <row r="6" spans="1:16" ht="20.25" customHeight="1">
      <c r="A6" s="383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205" t="s">
        <v>15</v>
      </c>
      <c r="K6" s="205" t="s">
        <v>16</v>
      </c>
      <c r="L6" s="42" t="s">
        <v>17</v>
      </c>
      <c r="M6" s="42" t="s">
        <v>18</v>
      </c>
      <c r="N6" s="43" t="s">
        <v>124</v>
      </c>
      <c r="O6" s="396"/>
      <c r="P6" s="400"/>
    </row>
    <row r="7" spans="1:16" s="200" customFormat="1" ht="20.25" customHeight="1">
      <c r="A7" s="199">
        <v>1</v>
      </c>
      <c r="B7" s="196" t="s">
        <v>20</v>
      </c>
      <c r="C7" s="199" t="s">
        <v>21</v>
      </c>
      <c r="D7" s="199" t="s">
        <v>22</v>
      </c>
      <c r="E7" s="199" t="s">
        <v>168</v>
      </c>
      <c r="F7" s="198">
        <v>14600</v>
      </c>
      <c r="G7" s="123"/>
      <c r="H7" s="123"/>
      <c r="I7" s="123"/>
      <c r="J7" s="123"/>
      <c r="K7" s="123"/>
      <c r="L7" s="126"/>
      <c r="M7" s="124"/>
      <c r="N7" s="198">
        <f>ROUND(F7*3%,0)</f>
        <v>438</v>
      </c>
      <c r="O7" s="198">
        <f>SUM(F7-N7)</f>
        <v>14162</v>
      </c>
      <c r="P7" s="199" t="s">
        <v>126</v>
      </c>
    </row>
    <row r="8" spans="1:16" s="194" customFormat="1" ht="20.25" customHeight="1">
      <c r="A8" s="191">
        <v>2</v>
      </c>
      <c r="B8" s="192" t="s">
        <v>23</v>
      </c>
      <c r="C8" s="191" t="s">
        <v>24</v>
      </c>
      <c r="D8" s="191" t="s">
        <v>19</v>
      </c>
      <c r="E8" s="191" t="s">
        <v>169</v>
      </c>
      <c r="F8" s="193">
        <v>13500</v>
      </c>
      <c r="G8" s="13"/>
      <c r="H8" s="13"/>
      <c r="I8" s="13"/>
      <c r="J8" s="13"/>
      <c r="K8" s="13"/>
      <c r="L8" s="16"/>
      <c r="M8" s="17"/>
      <c r="N8" s="193">
        <f>ROUND(F8*3%,0)</f>
        <v>405</v>
      </c>
      <c r="O8" s="193">
        <f t="shared" ref="O8:O52" si="0">SUM(F8-N8)</f>
        <v>13095</v>
      </c>
      <c r="P8" s="191" t="s">
        <v>127</v>
      </c>
    </row>
    <row r="9" spans="1:16" s="194" customFormat="1" ht="20.25" customHeight="1">
      <c r="A9" s="191">
        <v>3</v>
      </c>
      <c r="B9" s="192" t="s">
        <v>25</v>
      </c>
      <c r="C9" s="191" t="s">
        <v>26</v>
      </c>
      <c r="D9" s="191" t="s">
        <v>27</v>
      </c>
      <c r="E9" s="191" t="s">
        <v>169</v>
      </c>
      <c r="F9" s="193">
        <v>13400</v>
      </c>
      <c r="G9" s="13"/>
      <c r="H9" s="13"/>
      <c r="I9" s="13"/>
      <c r="J9" s="13"/>
      <c r="K9" s="13"/>
      <c r="L9" s="16"/>
      <c r="M9" s="17"/>
      <c r="N9" s="193">
        <f>ROUND(F9*3%,0)</f>
        <v>402</v>
      </c>
      <c r="O9" s="193">
        <f t="shared" si="0"/>
        <v>12998</v>
      </c>
      <c r="P9" s="191"/>
    </row>
    <row r="10" spans="1:16" s="200" customFormat="1" ht="20.25" customHeight="1">
      <c r="A10" s="199">
        <v>4</v>
      </c>
      <c r="B10" s="196" t="s">
        <v>28</v>
      </c>
      <c r="C10" s="199" t="s">
        <v>29</v>
      </c>
      <c r="D10" s="199" t="s">
        <v>22</v>
      </c>
      <c r="E10" s="199" t="s">
        <v>168</v>
      </c>
      <c r="F10" s="198">
        <v>14600</v>
      </c>
      <c r="G10" s="13"/>
      <c r="H10" s="13"/>
      <c r="I10" s="13"/>
      <c r="J10" s="13"/>
      <c r="K10" s="13"/>
      <c r="L10" s="16"/>
      <c r="M10" s="17"/>
      <c r="N10" s="198">
        <f>ROUND(F10*3%,0)</f>
        <v>438</v>
      </c>
      <c r="O10" s="198">
        <f t="shared" si="0"/>
        <v>14162</v>
      </c>
      <c r="P10" s="199"/>
    </row>
    <row r="11" spans="1:16" s="194" customFormat="1" ht="20.25" customHeight="1">
      <c r="A11" s="191">
        <v>5</v>
      </c>
      <c r="B11" s="192" t="s">
        <v>30</v>
      </c>
      <c r="C11" s="191" t="s">
        <v>31</v>
      </c>
      <c r="D11" s="191" t="s">
        <v>32</v>
      </c>
      <c r="E11" s="191" t="s">
        <v>169</v>
      </c>
      <c r="F11" s="193">
        <v>16500</v>
      </c>
      <c r="G11" s="13"/>
      <c r="H11" s="13"/>
      <c r="I11" s="13"/>
      <c r="J11" s="13"/>
      <c r="K11" s="13"/>
      <c r="L11" s="16"/>
      <c r="M11" s="17"/>
      <c r="N11" s="193">
        <v>450</v>
      </c>
      <c r="O11" s="193">
        <f t="shared" si="0"/>
        <v>16050</v>
      </c>
      <c r="P11" s="191" t="s">
        <v>128</v>
      </c>
    </row>
    <row r="12" spans="1:16" s="194" customFormat="1" ht="20.25" customHeight="1">
      <c r="A12" s="191">
        <v>6</v>
      </c>
      <c r="B12" s="192" t="s">
        <v>33</v>
      </c>
      <c r="C12" s="191" t="s">
        <v>34</v>
      </c>
      <c r="D12" s="191" t="s">
        <v>32</v>
      </c>
      <c r="E12" s="191" t="s">
        <v>169</v>
      </c>
      <c r="F12" s="193">
        <v>17300</v>
      </c>
      <c r="G12" s="13"/>
      <c r="H12" s="13"/>
      <c r="I12" s="13"/>
      <c r="J12" s="13"/>
      <c r="K12" s="13"/>
      <c r="L12" s="16"/>
      <c r="M12" s="17"/>
      <c r="N12" s="193">
        <v>450</v>
      </c>
      <c r="O12" s="193">
        <f t="shared" si="0"/>
        <v>16850</v>
      </c>
      <c r="P12" s="191" t="s">
        <v>129</v>
      </c>
    </row>
    <row r="13" spans="1:16" s="200" customFormat="1" ht="20.25" customHeight="1">
      <c r="A13" s="199">
        <v>7</v>
      </c>
      <c r="B13" s="196" t="s">
        <v>35</v>
      </c>
      <c r="C13" s="199" t="s">
        <v>36</v>
      </c>
      <c r="D13" s="199" t="s">
        <v>37</v>
      </c>
      <c r="E13" s="199" t="s">
        <v>168</v>
      </c>
      <c r="F13" s="198">
        <v>19000</v>
      </c>
      <c r="G13" s="13"/>
      <c r="H13" s="13"/>
      <c r="I13" s="13"/>
      <c r="J13" s="13"/>
      <c r="K13" s="13"/>
      <c r="L13" s="16"/>
      <c r="M13" s="17"/>
      <c r="N13" s="198">
        <v>450</v>
      </c>
      <c r="O13" s="198">
        <f t="shared" si="0"/>
        <v>18550</v>
      </c>
      <c r="P13" s="199" t="s">
        <v>130</v>
      </c>
    </row>
    <row r="14" spans="1:16" s="194" customFormat="1" ht="20.25" customHeight="1">
      <c r="A14" s="191">
        <v>8</v>
      </c>
      <c r="B14" s="192" t="s">
        <v>38</v>
      </c>
      <c r="C14" s="191" t="s">
        <v>39</v>
      </c>
      <c r="D14" s="191" t="s">
        <v>32</v>
      </c>
      <c r="E14" s="191" t="s">
        <v>169</v>
      </c>
      <c r="F14" s="193">
        <v>25000</v>
      </c>
      <c r="G14" s="13"/>
      <c r="H14" s="13"/>
      <c r="I14" s="13"/>
      <c r="J14" s="13"/>
      <c r="K14" s="13"/>
      <c r="L14" s="16"/>
      <c r="M14" s="17"/>
      <c r="N14" s="193">
        <v>450</v>
      </c>
      <c r="O14" s="193">
        <f t="shared" si="0"/>
        <v>24550</v>
      </c>
      <c r="P14" s="191"/>
    </row>
    <row r="15" spans="1:16" s="194" customFormat="1" ht="20.25" customHeight="1">
      <c r="A15" s="191">
        <v>9</v>
      </c>
      <c r="B15" s="192" t="s">
        <v>40</v>
      </c>
      <c r="C15" s="191" t="s">
        <v>41</v>
      </c>
      <c r="D15" s="191" t="s">
        <v>32</v>
      </c>
      <c r="E15" s="191" t="s">
        <v>169</v>
      </c>
      <c r="F15" s="193">
        <v>20500</v>
      </c>
      <c r="G15" s="13"/>
      <c r="H15" s="13"/>
      <c r="I15" s="13"/>
      <c r="J15" s="13"/>
      <c r="K15" s="13"/>
      <c r="L15" s="16"/>
      <c r="M15" s="17"/>
      <c r="N15" s="193">
        <v>450</v>
      </c>
      <c r="O15" s="193">
        <f t="shared" si="0"/>
        <v>20050</v>
      </c>
      <c r="P15" s="191" t="s">
        <v>131</v>
      </c>
    </row>
    <row r="16" spans="1:16" s="200" customFormat="1" ht="20.25" customHeight="1">
      <c r="A16" s="199">
        <v>10</v>
      </c>
      <c r="B16" s="196" t="s">
        <v>42</v>
      </c>
      <c r="C16" s="199" t="s">
        <v>43</v>
      </c>
      <c r="D16" s="199" t="s">
        <v>44</v>
      </c>
      <c r="E16" s="199" t="s">
        <v>168</v>
      </c>
      <c r="F16" s="198">
        <v>25000</v>
      </c>
      <c r="G16" s="13"/>
      <c r="H16" s="13"/>
      <c r="I16" s="13"/>
      <c r="J16" s="13"/>
      <c r="K16" s="13"/>
      <c r="L16" s="16"/>
      <c r="M16" s="17"/>
      <c r="N16" s="198">
        <v>450</v>
      </c>
      <c r="O16" s="198">
        <f t="shared" si="0"/>
        <v>24550</v>
      </c>
      <c r="P16" s="199"/>
    </row>
    <row r="17" spans="1:16" s="200" customFormat="1" ht="20.25" customHeight="1">
      <c r="A17" s="199">
        <v>11</v>
      </c>
      <c r="B17" s="196" t="s">
        <v>45</v>
      </c>
      <c r="C17" s="199" t="s">
        <v>46</v>
      </c>
      <c r="D17" s="199" t="s">
        <v>44</v>
      </c>
      <c r="E17" s="199" t="s">
        <v>168</v>
      </c>
      <c r="F17" s="198">
        <v>19700</v>
      </c>
      <c r="G17" s="13"/>
      <c r="H17" s="13"/>
      <c r="I17" s="13"/>
      <c r="J17" s="13"/>
      <c r="K17" s="13"/>
      <c r="L17" s="16"/>
      <c r="M17" s="17"/>
      <c r="N17" s="198">
        <v>450</v>
      </c>
      <c r="O17" s="198">
        <f t="shared" si="0"/>
        <v>19250</v>
      </c>
      <c r="P17" s="199" t="s">
        <v>132</v>
      </c>
    </row>
    <row r="18" spans="1:16" s="200" customFormat="1" ht="20.25" customHeight="1">
      <c r="A18" s="199">
        <v>12</v>
      </c>
      <c r="B18" s="196" t="s">
        <v>47</v>
      </c>
      <c r="C18" s="199" t="s">
        <v>48</v>
      </c>
      <c r="D18" s="199" t="s">
        <v>44</v>
      </c>
      <c r="E18" s="199" t="s">
        <v>168</v>
      </c>
      <c r="F18" s="198">
        <v>17600</v>
      </c>
      <c r="G18" s="13"/>
      <c r="H18" s="13"/>
      <c r="I18" s="13"/>
      <c r="J18" s="13"/>
      <c r="K18" s="13"/>
      <c r="L18" s="16"/>
      <c r="M18" s="17"/>
      <c r="N18" s="198">
        <v>450</v>
      </c>
      <c r="O18" s="198">
        <f t="shared" si="0"/>
        <v>17150</v>
      </c>
      <c r="P18" s="199" t="s">
        <v>126</v>
      </c>
    </row>
    <row r="19" spans="1:16" s="200" customFormat="1" ht="20.25" customHeight="1">
      <c r="A19" s="199">
        <v>13</v>
      </c>
      <c r="B19" s="196" t="s">
        <v>49</v>
      </c>
      <c r="C19" s="199" t="s">
        <v>50</v>
      </c>
      <c r="D19" s="199" t="s">
        <v>37</v>
      </c>
      <c r="E19" s="199" t="s">
        <v>168</v>
      </c>
      <c r="F19" s="198">
        <v>25000</v>
      </c>
      <c r="G19" s="13"/>
      <c r="H19" s="13"/>
      <c r="I19" s="13"/>
      <c r="J19" s="13"/>
      <c r="K19" s="13"/>
      <c r="L19" s="16"/>
      <c r="M19" s="17"/>
      <c r="N19" s="198">
        <v>450</v>
      </c>
      <c r="O19" s="198">
        <f t="shared" si="0"/>
        <v>24550</v>
      </c>
      <c r="P19" s="199"/>
    </row>
    <row r="20" spans="1:16" s="200" customFormat="1" ht="20.25" customHeight="1">
      <c r="A20" s="199">
        <v>14</v>
      </c>
      <c r="B20" s="196" t="s">
        <v>51</v>
      </c>
      <c r="C20" s="199" t="s">
        <v>52</v>
      </c>
      <c r="D20" s="199" t="s">
        <v>44</v>
      </c>
      <c r="E20" s="199" t="s">
        <v>168</v>
      </c>
      <c r="F20" s="198">
        <v>22700</v>
      </c>
      <c r="G20" s="13"/>
      <c r="H20" s="13"/>
      <c r="I20" s="13"/>
      <c r="J20" s="13"/>
      <c r="K20" s="13"/>
      <c r="L20" s="16"/>
      <c r="M20" s="17"/>
      <c r="N20" s="198">
        <v>450</v>
      </c>
      <c r="O20" s="198">
        <f t="shared" si="0"/>
        <v>22250</v>
      </c>
      <c r="P20" s="199" t="s">
        <v>132</v>
      </c>
    </row>
    <row r="21" spans="1:16" s="194" customFormat="1" ht="20.25" customHeight="1">
      <c r="A21" s="191">
        <v>15</v>
      </c>
      <c r="B21" s="192" t="s">
        <v>53</v>
      </c>
      <c r="C21" s="191" t="s">
        <v>54</v>
      </c>
      <c r="D21" s="191" t="s">
        <v>55</v>
      </c>
      <c r="E21" s="191" t="s">
        <v>169</v>
      </c>
      <c r="F21" s="193">
        <v>23500</v>
      </c>
      <c r="G21" s="13"/>
      <c r="H21" s="13"/>
      <c r="I21" s="13"/>
      <c r="J21" s="13"/>
      <c r="K21" s="13"/>
      <c r="L21" s="16"/>
      <c r="M21" s="17"/>
      <c r="N21" s="193">
        <v>450</v>
      </c>
      <c r="O21" s="193">
        <f t="shared" si="0"/>
        <v>23050</v>
      </c>
      <c r="P21" s="191" t="s">
        <v>133</v>
      </c>
    </row>
    <row r="22" spans="1:16" s="194" customFormat="1" ht="20.25" customHeight="1">
      <c r="A22" s="191">
        <v>16</v>
      </c>
      <c r="B22" s="192" t="s">
        <v>56</v>
      </c>
      <c r="C22" s="191" t="s">
        <v>57</v>
      </c>
      <c r="D22" s="191" t="s">
        <v>58</v>
      </c>
      <c r="E22" s="191" t="s">
        <v>169</v>
      </c>
      <c r="F22" s="193">
        <v>25000</v>
      </c>
      <c r="G22" s="13"/>
      <c r="H22" s="13"/>
      <c r="I22" s="13"/>
      <c r="J22" s="13"/>
      <c r="K22" s="13"/>
      <c r="L22" s="16"/>
      <c r="M22" s="17"/>
      <c r="N22" s="193">
        <v>450</v>
      </c>
      <c r="O22" s="193">
        <f t="shared" si="0"/>
        <v>24550</v>
      </c>
      <c r="P22" s="191"/>
    </row>
    <row r="23" spans="1:16" s="200" customFormat="1" ht="20.25" customHeight="1">
      <c r="A23" s="199">
        <v>17</v>
      </c>
      <c r="B23" s="196" t="s">
        <v>60</v>
      </c>
      <c r="C23" s="199" t="s">
        <v>61</v>
      </c>
      <c r="D23" s="199" t="s">
        <v>44</v>
      </c>
      <c r="E23" s="199" t="s">
        <v>168</v>
      </c>
      <c r="F23" s="198">
        <v>25000</v>
      </c>
      <c r="G23" s="13"/>
      <c r="H23" s="13"/>
      <c r="I23" s="13"/>
      <c r="J23" s="13"/>
      <c r="K23" s="13"/>
      <c r="L23" s="16"/>
      <c r="M23" s="17"/>
      <c r="N23" s="198">
        <v>450</v>
      </c>
      <c r="O23" s="198">
        <f t="shared" si="0"/>
        <v>24550</v>
      </c>
      <c r="P23" s="199"/>
    </row>
    <row r="24" spans="1:16" s="200" customFormat="1" ht="20.25" customHeight="1">
      <c r="A24" s="199">
        <v>18</v>
      </c>
      <c r="B24" s="196" t="s">
        <v>62</v>
      </c>
      <c r="C24" s="199" t="s">
        <v>63</v>
      </c>
      <c r="D24" s="199" t="s">
        <v>44</v>
      </c>
      <c r="E24" s="199" t="s">
        <v>168</v>
      </c>
      <c r="F24" s="198">
        <v>25000</v>
      </c>
      <c r="G24" s="13"/>
      <c r="H24" s="13"/>
      <c r="I24" s="13"/>
      <c r="J24" s="13"/>
      <c r="K24" s="13"/>
      <c r="L24" s="16"/>
      <c r="M24" s="17"/>
      <c r="N24" s="198">
        <v>450</v>
      </c>
      <c r="O24" s="198">
        <f t="shared" si="0"/>
        <v>24550</v>
      </c>
      <c r="P24" s="199"/>
    </row>
    <row r="25" spans="1:16" s="200" customFormat="1" ht="20.25" customHeight="1">
      <c r="A25" s="199">
        <v>19</v>
      </c>
      <c r="B25" s="196" t="s">
        <v>64</v>
      </c>
      <c r="C25" s="199" t="s">
        <v>65</v>
      </c>
      <c r="D25" s="199" t="s">
        <v>44</v>
      </c>
      <c r="E25" s="199" t="s">
        <v>168</v>
      </c>
      <c r="F25" s="198">
        <v>25000</v>
      </c>
      <c r="G25" s="13"/>
      <c r="H25" s="13"/>
      <c r="I25" s="13"/>
      <c r="J25" s="13"/>
      <c r="K25" s="13"/>
      <c r="L25" s="16"/>
      <c r="M25" s="17"/>
      <c r="N25" s="198">
        <v>450</v>
      </c>
      <c r="O25" s="198">
        <f t="shared" si="0"/>
        <v>24550</v>
      </c>
      <c r="P25" s="199"/>
    </row>
    <row r="26" spans="1:16" s="200" customFormat="1" ht="20.25" customHeight="1">
      <c r="A26" s="199">
        <v>20</v>
      </c>
      <c r="B26" s="196" t="s">
        <v>66</v>
      </c>
      <c r="C26" s="199" t="s">
        <v>67</v>
      </c>
      <c r="D26" s="199" t="s">
        <v>44</v>
      </c>
      <c r="E26" s="199" t="s">
        <v>168</v>
      </c>
      <c r="F26" s="198">
        <v>25000</v>
      </c>
      <c r="G26" s="13"/>
      <c r="H26" s="13"/>
      <c r="I26" s="13"/>
      <c r="J26" s="13"/>
      <c r="K26" s="13"/>
      <c r="L26" s="16"/>
      <c r="M26" s="17"/>
      <c r="N26" s="198">
        <v>450</v>
      </c>
      <c r="O26" s="198">
        <f t="shared" si="0"/>
        <v>24550</v>
      </c>
      <c r="P26" s="199"/>
    </row>
    <row r="27" spans="1:16" s="200" customFormat="1" ht="20.25" customHeight="1">
      <c r="A27" s="199">
        <v>21</v>
      </c>
      <c r="B27" s="196" t="s">
        <v>68</v>
      </c>
      <c r="C27" s="199" t="s">
        <v>69</v>
      </c>
      <c r="D27" s="199" t="s">
        <v>44</v>
      </c>
      <c r="E27" s="199" t="s">
        <v>168</v>
      </c>
      <c r="F27" s="198">
        <v>25000</v>
      </c>
      <c r="G27" s="13"/>
      <c r="H27" s="13"/>
      <c r="I27" s="13"/>
      <c r="J27" s="13"/>
      <c r="K27" s="13"/>
      <c r="L27" s="16"/>
      <c r="M27" s="17"/>
      <c r="N27" s="198">
        <v>450</v>
      </c>
      <c r="O27" s="198">
        <f t="shared" si="0"/>
        <v>24550</v>
      </c>
      <c r="P27" s="199"/>
    </row>
    <row r="28" spans="1:16" s="200" customFormat="1" ht="20.25" customHeight="1">
      <c r="A28" s="199">
        <v>22</v>
      </c>
      <c r="B28" s="196" t="s">
        <v>70</v>
      </c>
      <c r="C28" s="199" t="s">
        <v>71</v>
      </c>
      <c r="D28" s="199" t="s">
        <v>72</v>
      </c>
      <c r="E28" s="199" t="s">
        <v>168</v>
      </c>
      <c r="F28" s="198">
        <f>H28*I28</f>
        <v>9400</v>
      </c>
      <c r="G28" s="13"/>
      <c r="H28" s="13">
        <v>400</v>
      </c>
      <c r="I28" s="19">
        <v>23.5</v>
      </c>
      <c r="J28" s="13"/>
      <c r="K28" s="13"/>
      <c r="L28" s="16"/>
      <c r="M28" s="17"/>
      <c r="N28" s="198">
        <f>ROUND(F28*3%,0)</f>
        <v>282</v>
      </c>
      <c r="O28" s="198">
        <f>SUM(F28-N28)</f>
        <v>9118</v>
      </c>
      <c r="P28" s="198"/>
    </row>
    <row r="29" spans="1:16" s="200" customFormat="1" ht="20.25" customHeight="1">
      <c r="A29" s="199">
        <v>23</v>
      </c>
      <c r="B29" s="196" t="s">
        <v>73</v>
      </c>
      <c r="C29" s="199" t="s">
        <v>74</v>
      </c>
      <c r="D29" s="199" t="s">
        <v>72</v>
      </c>
      <c r="E29" s="199" t="s">
        <v>168</v>
      </c>
      <c r="F29" s="198">
        <f>+H29*I29</f>
        <v>7200</v>
      </c>
      <c r="G29" s="13"/>
      <c r="H29" s="13">
        <v>360</v>
      </c>
      <c r="I29" s="13">
        <v>20</v>
      </c>
      <c r="J29" s="13"/>
      <c r="K29" s="13"/>
      <c r="L29" s="16"/>
      <c r="M29" s="17"/>
      <c r="N29" s="198">
        <f>ROUND(F29*3%,0)</f>
        <v>216</v>
      </c>
      <c r="O29" s="198">
        <f t="shared" si="0"/>
        <v>6984</v>
      </c>
      <c r="P29" s="198"/>
    </row>
    <row r="30" spans="1:16" s="200" customFormat="1" ht="20.25" customHeight="1">
      <c r="A30" s="199">
        <v>24</v>
      </c>
      <c r="B30" s="196" t="s">
        <v>75</v>
      </c>
      <c r="C30" s="199" t="s">
        <v>76</v>
      </c>
      <c r="D30" s="199" t="s">
        <v>44</v>
      </c>
      <c r="E30" s="199" t="s">
        <v>168</v>
      </c>
      <c r="F30" s="198">
        <v>25000</v>
      </c>
      <c r="G30" s="13"/>
      <c r="H30" s="13"/>
      <c r="I30" s="13"/>
      <c r="J30" s="13"/>
      <c r="K30" s="13"/>
      <c r="L30" s="16"/>
      <c r="M30" s="17"/>
      <c r="N30" s="198">
        <v>450</v>
      </c>
      <c r="O30" s="198">
        <f t="shared" si="0"/>
        <v>24550</v>
      </c>
      <c r="P30" s="199"/>
    </row>
    <row r="31" spans="1:16" s="194" customFormat="1" ht="20.25" customHeight="1">
      <c r="A31" s="191">
        <v>25</v>
      </c>
      <c r="B31" s="192" t="s">
        <v>77</v>
      </c>
      <c r="C31" s="191" t="s">
        <v>78</v>
      </c>
      <c r="D31" s="191" t="s">
        <v>79</v>
      </c>
      <c r="E31" s="191" t="s">
        <v>169</v>
      </c>
      <c r="F31" s="193">
        <v>15500</v>
      </c>
      <c r="G31" s="25" t="s">
        <v>80</v>
      </c>
      <c r="H31" s="13"/>
      <c r="I31" s="13"/>
      <c r="J31" s="13"/>
      <c r="K31" s="13"/>
      <c r="L31" s="16"/>
      <c r="M31" s="17"/>
      <c r="N31" s="193">
        <v>450</v>
      </c>
      <c r="O31" s="193">
        <f t="shared" si="0"/>
        <v>15050</v>
      </c>
      <c r="P31" s="191" t="s">
        <v>128</v>
      </c>
    </row>
    <row r="32" spans="1:16" s="200" customFormat="1" ht="20.25" customHeight="1">
      <c r="A32" s="199">
        <v>26</v>
      </c>
      <c r="B32" s="196" t="s">
        <v>81</v>
      </c>
      <c r="C32" s="199" t="s">
        <v>82</v>
      </c>
      <c r="D32" s="199" t="s">
        <v>44</v>
      </c>
      <c r="E32" s="199" t="s">
        <v>168</v>
      </c>
      <c r="F32" s="198">
        <v>25000</v>
      </c>
      <c r="G32" s="25" t="s">
        <v>83</v>
      </c>
      <c r="H32" s="13"/>
      <c r="I32" s="13"/>
      <c r="J32" s="13"/>
      <c r="K32" s="13"/>
      <c r="L32" s="16"/>
      <c r="M32" s="17"/>
      <c r="N32" s="198">
        <v>450</v>
      </c>
      <c r="O32" s="198">
        <f t="shared" si="0"/>
        <v>24550</v>
      </c>
      <c r="P32" s="198"/>
    </row>
    <row r="33" spans="1:16" s="194" customFormat="1" ht="20.25" customHeight="1">
      <c r="A33" s="191">
        <v>27</v>
      </c>
      <c r="B33" s="192" t="s">
        <v>84</v>
      </c>
      <c r="C33" s="191" t="s">
        <v>85</v>
      </c>
      <c r="D33" s="191" t="s">
        <v>32</v>
      </c>
      <c r="E33" s="191" t="s">
        <v>169</v>
      </c>
      <c r="F33" s="193">
        <v>15500</v>
      </c>
      <c r="G33" s="25" t="s">
        <v>83</v>
      </c>
      <c r="H33" s="13"/>
      <c r="I33" s="13"/>
      <c r="J33" s="13"/>
      <c r="K33" s="13"/>
      <c r="L33" s="16"/>
      <c r="M33" s="17"/>
      <c r="N33" s="193">
        <v>450</v>
      </c>
      <c r="O33" s="193">
        <f t="shared" si="0"/>
        <v>15050</v>
      </c>
      <c r="P33" s="191" t="s">
        <v>128</v>
      </c>
    </row>
    <row r="34" spans="1:16" s="200" customFormat="1" ht="20.25" customHeight="1">
      <c r="A34" s="199">
        <v>28</v>
      </c>
      <c r="B34" s="196" t="s">
        <v>86</v>
      </c>
      <c r="C34" s="199" t="s">
        <v>87</v>
      </c>
      <c r="D34" s="199" t="s">
        <v>44</v>
      </c>
      <c r="E34" s="199" t="s">
        <v>168</v>
      </c>
      <c r="F34" s="198">
        <v>25000</v>
      </c>
      <c r="G34" s="25" t="s">
        <v>88</v>
      </c>
      <c r="H34" s="13"/>
      <c r="I34" s="13"/>
      <c r="J34" s="13"/>
      <c r="K34" s="13"/>
      <c r="L34" s="16"/>
      <c r="M34" s="17"/>
      <c r="N34" s="198">
        <v>450</v>
      </c>
      <c r="O34" s="198">
        <f t="shared" si="0"/>
        <v>24550</v>
      </c>
      <c r="P34" s="198"/>
    </row>
    <row r="35" spans="1:16" s="200" customFormat="1" ht="20.25" customHeight="1">
      <c r="A35" s="199">
        <v>29</v>
      </c>
      <c r="B35" s="196" t="s">
        <v>89</v>
      </c>
      <c r="C35" s="199" t="s">
        <v>90</v>
      </c>
      <c r="D35" s="199" t="s">
        <v>72</v>
      </c>
      <c r="E35" s="199" t="s">
        <v>168</v>
      </c>
      <c r="F35" s="198">
        <f>+H35*I35</f>
        <v>8360</v>
      </c>
      <c r="G35" s="25" t="s">
        <v>88</v>
      </c>
      <c r="H35" s="13">
        <v>380</v>
      </c>
      <c r="I35" s="13">
        <v>22</v>
      </c>
      <c r="J35" s="13"/>
      <c r="K35" s="13"/>
      <c r="L35" s="16"/>
      <c r="M35" s="17"/>
      <c r="N35" s="198">
        <f>ROUND(F35*3%,0)</f>
        <v>251</v>
      </c>
      <c r="O35" s="198">
        <f t="shared" si="0"/>
        <v>8109</v>
      </c>
      <c r="P35" s="198"/>
    </row>
    <row r="36" spans="1:16" s="194" customFormat="1" ht="20.25" customHeight="1">
      <c r="A36" s="191">
        <v>30</v>
      </c>
      <c r="B36" s="192" t="s">
        <v>91</v>
      </c>
      <c r="C36" s="191" t="s">
        <v>92</v>
      </c>
      <c r="D36" s="191" t="s">
        <v>32</v>
      </c>
      <c r="E36" s="191" t="s">
        <v>169</v>
      </c>
      <c r="F36" s="193">
        <v>16200</v>
      </c>
      <c r="G36" s="25" t="s">
        <v>93</v>
      </c>
      <c r="H36" s="13"/>
      <c r="I36" s="13"/>
      <c r="J36" s="13"/>
      <c r="K36" s="13"/>
      <c r="L36" s="16"/>
      <c r="M36" s="17"/>
      <c r="N36" s="193">
        <v>450</v>
      </c>
      <c r="O36" s="193">
        <f t="shared" si="0"/>
        <v>15750</v>
      </c>
      <c r="P36" s="191" t="s">
        <v>134</v>
      </c>
    </row>
    <row r="37" spans="1:16" s="200" customFormat="1" ht="20.25" customHeight="1">
      <c r="A37" s="199">
        <v>31</v>
      </c>
      <c r="B37" s="196" t="s">
        <v>94</v>
      </c>
      <c r="C37" s="201">
        <v>6016200526744</v>
      </c>
      <c r="D37" s="199" t="s">
        <v>95</v>
      </c>
      <c r="E37" s="199" t="s">
        <v>168</v>
      </c>
      <c r="F37" s="198">
        <f>H37*I37</f>
        <v>7260</v>
      </c>
      <c r="G37" s="25" t="s">
        <v>96</v>
      </c>
      <c r="H37" s="13">
        <v>330</v>
      </c>
      <c r="I37" s="13">
        <v>22</v>
      </c>
      <c r="J37" s="13"/>
      <c r="K37" s="13"/>
      <c r="L37" s="16"/>
      <c r="M37" s="17"/>
      <c r="N37" s="198">
        <f t="shared" ref="N37:N44" si="1">ROUND(F37*3%,0)</f>
        <v>218</v>
      </c>
      <c r="O37" s="198">
        <f t="shared" si="0"/>
        <v>7042</v>
      </c>
      <c r="P37" s="198"/>
    </row>
    <row r="38" spans="1:16" s="200" customFormat="1" ht="20.25" customHeight="1">
      <c r="A38" s="199">
        <v>32</v>
      </c>
      <c r="B38" s="196" t="s">
        <v>97</v>
      </c>
      <c r="C38" s="201">
        <v>6016200526680</v>
      </c>
      <c r="D38" s="199" t="s">
        <v>95</v>
      </c>
      <c r="E38" s="199" t="s">
        <v>168</v>
      </c>
      <c r="F38" s="198">
        <f t="shared" ref="F38:F44" si="2">H38*I38</f>
        <v>7590</v>
      </c>
      <c r="G38" s="25" t="s">
        <v>96</v>
      </c>
      <c r="H38" s="13">
        <v>330</v>
      </c>
      <c r="I38" s="13">
        <v>23</v>
      </c>
      <c r="J38" s="13"/>
      <c r="K38" s="13"/>
      <c r="L38" s="16"/>
      <c r="M38" s="17"/>
      <c r="N38" s="198">
        <f t="shared" si="1"/>
        <v>228</v>
      </c>
      <c r="O38" s="198">
        <f t="shared" si="0"/>
        <v>7362</v>
      </c>
      <c r="P38" s="198"/>
    </row>
    <row r="39" spans="1:16" s="200" customFormat="1" ht="20.25" customHeight="1">
      <c r="A39" s="199">
        <v>33</v>
      </c>
      <c r="B39" s="196" t="s">
        <v>98</v>
      </c>
      <c r="C39" s="201">
        <v>6016200526639</v>
      </c>
      <c r="D39" s="199" t="s">
        <v>95</v>
      </c>
      <c r="E39" s="199" t="s">
        <v>168</v>
      </c>
      <c r="F39" s="198">
        <f t="shared" si="2"/>
        <v>7260</v>
      </c>
      <c r="G39" s="25" t="s">
        <v>96</v>
      </c>
      <c r="H39" s="13">
        <v>330</v>
      </c>
      <c r="I39" s="13">
        <v>22</v>
      </c>
      <c r="J39" s="13"/>
      <c r="K39" s="13"/>
      <c r="L39" s="16"/>
      <c r="M39" s="17"/>
      <c r="N39" s="198">
        <f t="shared" si="1"/>
        <v>218</v>
      </c>
      <c r="O39" s="198">
        <f t="shared" si="0"/>
        <v>7042</v>
      </c>
      <c r="P39" s="198"/>
    </row>
    <row r="40" spans="1:16" s="200" customFormat="1" ht="20.25" customHeight="1">
      <c r="A40" s="199">
        <v>34</v>
      </c>
      <c r="B40" s="196" t="s">
        <v>99</v>
      </c>
      <c r="C40" s="201">
        <v>6016200526591</v>
      </c>
      <c r="D40" s="199" t="s">
        <v>95</v>
      </c>
      <c r="E40" s="199" t="s">
        <v>168</v>
      </c>
      <c r="F40" s="198">
        <f t="shared" si="2"/>
        <v>7590</v>
      </c>
      <c r="G40" s="25" t="s">
        <v>96</v>
      </c>
      <c r="H40" s="13">
        <v>330</v>
      </c>
      <c r="I40" s="13">
        <v>23</v>
      </c>
      <c r="J40" s="13"/>
      <c r="K40" s="13"/>
      <c r="L40" s="16"/>
      <c r="M40" s="17"/>
      <c r="N40" s="198">
        <f t="shared" si="1"/>
        <v>228</v>
      </c>
      <c r="O40" s="198">
        <f t="shared" si="0"/>
        <v>7362</v>
      </c>
      <c r="P40" s="198"/>
    </row>
    <row r="41" spans="1:16" s="200" customFormat="1" ht="20.25" customHeight="1">
      <c r="A41" s="199">
        <v>35</v>
      </c>
      <c r="B41" s="202" t="s">
        <v>108</v>
      </c>
      <c r="C41" s="199" t="s">
        <v>109</v>
      </c>
      <c r="D41" s="199" t="s">
        <v>72</v>
      </c>
      <c r="E41" s="199" t="s">
        <v>168</v>
      </c>
      <c r="F41" s="198">
        <f t="shared" si="2"/>
        <v>9600</v>
      </c>
      <c r="G41" s="27" t="s">
        <v>107</v>
      </c>
      <c r="H41" s="13">
        <v>400</v>
      </c>
      <c r="I41" s="13">
        <v>24</v>
      </c>
      <c r="J41" s="13"/>
      <c r="K41" s="13"/>
      <c r="L41" s="16"/>
      <c r="M41" s="17"/>
      <c r="N41" s="198">
        <f t="shared" si="1"/>
        <v>288</v>
      </c>
      <c r="O41" s="198">
        <f t="shared" si="0"/>
        <v>9312</v>
      </c>
      <c r="P41" s="198"/>
    </row>
    <row r="42" spans="1:16" s="200" customFormat="1" ht="20.25" customHeight="1">
      <c r="A42" s="199">
        <v>36</v>
      </c>
      <c r="B42" s="202" t="s">
        <v>110</v>
      </c>
      <c r="C42" s="201">
        <v>6016300837717</v>
      </c>
      <c r="D42" s="199" t="s">
        <v>95</v>
      </c>
      <c r="E42" s="199" t="s">
        <v>168</v>
      </c>
      <c r="F42" s="198">
        <f t="shared" si="2"/>
        <v>7590</v>
      </c>
      <c r="G42" s="27" t="s">
        <v>111</v>
      </c>
      <c r="H42" s="13">
        <v>330</v>
      </c>
      <c r="I42" s="13">
        <v>23</v>
      </c>
      <c r="J42" s="13"/>
      <c r="K42" s="13"/>
      <c r="L42" s="16"/>
      <c r="M42" s="17"/>
      <c r="N42" s="198">
        <f t="shared" si="1"/>
        <v>228</v>
      </c>
      <c r="O42" s="198">
        <f t="shared" si="0"/>
        <v>7362</v>
      </c>
      <c r="P42" s="198"/>
    </row>
    <row r="43" spans="1:16" s="200" customFormat="1" ht="20.25" customHeight="1">
      <c r="A43" s="199">
        <v>37</v>
      </c>
      <c r="B43" s="202" t="s">
        <v>112</v>
      </c>
      <c r="C43" s="201">
        <v>6016300837709</v>
      </c>
      <c r="D43" s="199" t="s">
        <v>95</v>
      </c>
      <c r="E43" s="199" t="s">
        <v>168</v>
      </c>
      <c r="F43" s="198">
        <f t="shared" si="2"/>
        <v>7590</v>
      </c>
      <c r="G43" s="27" t="s">
        <v>111</v>
      </c>
      <c r="H43" s="13">
        <v>330</v>
      </c>
      <c r="I43" s="13">
        <v>23</v>
      </c>
      <c r="J43" s="13"/>
      <c r="K43" s="13"/>
      <c r="L43" s="16"/>
      <c r="M43" s="17"/>
      <c r="N43" s="198">
        <f t="shared" si="1"/>
        <v>228</v>
      </c>
      <c r="O43" s="198">
        <f t="shared" si="0"/>
        <v>7362</v>
      </c>
      <c r="P43" s="198"/>
    </row>
    <row r="44" spans="1:16" s="200" customFormat="1" ht="20.25" customHeight="1">
      <c r="A44" s="199">
        <v>38</v>
      </c>
      <c r="B44" s="202" t="s">
        <v>113</v>
      </c>
      <c r="C44" s="201">
        <v>6016300837750</v>
      </c>
      <c r="D44" s="199" t="s">
        <v>95</v>
      </c>
      <c r="E44" s="199" t="s">
        <v>168</v>
      </c>
      <c r="F44" s="198">
        <f t="shared" si="2"/>
        <v>7260</v>
      </c>
      <c r="G44" s="27" t="s">
        <v>111</v>
      </c>
      <c r="H44" s="13">
        <v>330</v>
      </c>
      <c r="I44" s="13">
        <v>22</v>
      </c>
      <c r="J44" s="13"/>
      <c r="K44" s="13"/>
      <c r="L44" s="16"/>
      <c r="M44" s="17"/>
      <c r="N44" s="198">
        <f t="shared" si="1"/>
        <v>218</v>
      </c>
      <c r="O44" s="198">
        <f t="shared" si="0"/>
        <v>7042</v>
      </c>
      <c r="P44" s="199"/>
    </row>
    <row r="45" spans="1:16" s="200" customFormat="1" ht="20.25" customHeight="1">
      <c r="A45" s="199">
        <v>39</v>
      </c>
      <c r="B45" s="196" t="s">
        <v>100</v>
      </c>
      <c r="C45" s="201">
        <v>1101500149087</v>
      </c>
      <c r="D45" s="199" t="s">
        <v>44</v>
      </c>
      <c r="E45" s="199" t="s">
        <v>168</v>
      </c>
      <c r="F45" s="198">
        <v>25000</v>
      </c>
      <c r="G45" s="27" t="s">
        <v>101</v>
      </c>
      <c r="H45" s="13"/>
      <c r="I45" s="13"/>
      <c r="J45" s="13"/>
      <c r="K45" s="13"/>
      <c r="L45" s="16"/>
      <c r="M45" s="17"/>
      <c r="N45" s="198">
        <v>450</v>
      </c>
      <c r="O45" s="198">
        <f t="shared" si="0"/>
        <v>24550</v>
      </c>
      <c r="P45" s="199"/>
    </row>
    <row r="46" spans="1:16" s="200" customFormat="1" ht="20.25" customHeight="1">
      <c r="A46" s="199">
        <v>40</v>
      </c>
      <c r="B46" s="196" t="s">
        <v>102</v>
      </c>
      <c r="C46" s="201">
        <v>220062001228</v>
      </c>
      <c r="D46" s="199" t="s">
        <v>95</v>
      </c>
      <c r="E46" s="199" t="s">
        <v>168</v>
      </c>
      <c r="F46" s="198">
        <f>+H46*I46</f>
        <v>7260</v>
      </c>
      <c r="G46" s="27" t="s">
        <v>106</v>
      </c>
      <c r="H46" s="13">
        <v>330</v>
      </c>
      <c r="I46" s="13">
        <v>22</v>
      </c>
      <c r="J46" s="13"/>
      <c r="K46" s="13"/>
      <c r="L46" s="16"/>
      <c r="M46" s="17"/>
      <c r="N46" s="198">
        <f t="shared" ref="N46:N52" si="3">ROUND(F46*3%,0)</f>
        <v>218</v>
      </c>
      <c r="O46" s="198">
        <f t="shared" si="0"/>
        <v>7042</v>
      </c>
      <c r="P46" s="199"/>
    </row>
    <row r="47" spans="1:16" s="194" customFormat="1" ht="20.25" customHeight="1">
      <c r="A47" s="191">
        <v>41</v>
      </c>
      <c r="B47" s="192" t="s">
        <v>114</v>
      </c>
      <c r="C47" s="206">
        <v>1419900221235</v>
      </c>
      <c r="D47" s="191" t="s">
        <v>32</v>
      </c>
      <c r="E47" s="191" t="s">
        <v>169</v>
      </c>
      <c r="F47" s="193">
        <v>12000</v>
      </c>
      <c r="G47" s="27" t="s">
        <v>115</v>
      </c>
      <c r="H47" s="13"/>
      <c r="I47" s="13"/>
      <c r="J47" s="13"/>
      <c r="K47" s="13"/>
      <c r="L47" s="16"/>
      <c r="M47" s="17"/>
      <c r="N47" s="193">
        <f t="shared" si="3"/>
        <v>360</v>
      </c>
      <c r="O47" s="193">
        <f t="shared" si="0"/>
        <v>11640</v>
      </c>
      <c r="P47" s="191"/>
    </row>
    <row r="48" spans="1:16" s="200" customFormat="1" ht="20.25" customHeight="1">
      <c r="A48" s="199">
        <v>42</v>
      </c>
      <c r="B48" s="196" t="s">
        <v>118</v>
      </c>
      <c r="C48" s="201">
        <v>1229900643638</v>
      </c>
      <c r="D48" s="199" t="s">
        <v>44</v>
      </c>
      <c r="E48" s="199" t="s">
        <v>168</v>
      </c>
      <c r="F48" s="198">
        <v>15000</v>
      </c>
      <c r="G48" s="27" t="s">
        <v>119</v>
      </c>
      <c r="H48" s="13"/>
      <c r="I48" s="13"/>
      <c r="J48" s="13"/>
      <c r="K48" s="13"/>
      <c r="L48" s="16"/>
      <c r="M48" s="17"/>
      <c r="N48" s="198">
        <f t="shared" si="3"/>
        <v>450</v>
      </c>
      <c r="O48" s="198">
        <f t="shared" si="0"/>
        <v>14550</v>
      </c>
      <c r="P48" s="199" t="s">
        <v>125</v>
      </c>
    </row>
    <row r="49" spans="1:16" s="200" customFormat="1" ht="20.25" customHeight="1">
      <c r="A49" s="199">
        <v>43</v>
      </c>
      <c r="B49" s="196" t="s">
        <v>120</v>
      </c>
      <c r="C49" s="201">
        <v>3402000037896</v>
      </c>
      <c r="D49" s="199" t="s">
        <v>44</v>
      </c>
      <c r="E49" s="199" t="s">
        <v>168</v>
      </c>
      <c r="F49" s="198">
        <v>15000</v>
      </c>
      <c r="G49" s="27" t="s">
        <v>119</v>
      </c>
      <c r="H49" s="13"/>
      <c r="I49" s="13"/>
      <c r="J49" s="13"/>
      <c r="K49" s="13"/>
      <c r="L49" s="16"/>
      <c r="M49" s="17"/>
      <c r="N49" s="198">
        <f t="shared" si="3"/>
        <v>450</v>
      </c>
      <c r="O49" s="198">
        <f t="shared" si="0"/>
        <v>14550</v>
      </c>
      <c r="P49" s="199" t="s">
        <v>125</v>
      </c>
    </row>
    <row r="50" spans="1:16" s="200" customFormat="1" ht="20.25" customHeight="1">
      <c r="A50" s="199">
        <v>44</v>
      </c>
      <c r="B50" s="196" t="s">
        <v>121</v>
      </c>
      <c r="C50" s="201">
        <v>3341600658671</v>
      </c>
      <c r="D50" s="199" t="s">
        <v>44</v>
      </c>
      <c r="E50" s="199" t="s">
        <v>168</v>
      </c>
      <c r="F50" s="198">
        <v>15000</v>
      </c>
      <c r="G50" s="27" t="s">
        <v>119</v>
      </c>
      <c r="H50" s="13"/>
      <c r="I50" s="13"/>
      <c r="J50" s="13"/>
      <c r="K50" s="13"/>
      <c r="L50" s="16"/>
      <c r="M50" s="17"/>
      <c r="N50" s="198">
        <f t="shared" si="3"/>
        <v>450</v>
      </c>
      <c r="O50" s="198">
        <f t="shared" si="0"/>
        <v>14550</v>
      </c>
      <c r="P50" s="199" t="s">
        <v>125</v>
      </c>
    </row>
    <row r="51" spans="1:16" s="194" customFormat="1" ht="20.25" customHeight="1">
      <c r="A51" s="191">
        <v>45</v>
      </c>
      <c r="B51" s="192" t="s">
        <v>122</v>
      </c>
      <c r="C51" s="206">
        <v>3930100204585</v>
      </c>
      <c r="D51" s="191" t="s">
        <v>19</v>
      </c>
      <c r="E51" s="191" t="s">
        <v>169</v>
      </c>
      <c r="F51" s="193">
        <v>15000</v>
      </c>
      <c r="G51" s="27" t="s">
        <v>119</v>
      </c>
      <c r="H51" s="13"/>
      <c r="I51" s="13"/>
      <c r="J51" s="13"/>
      <c r="K51" s="13"/>
      <c r="L51" s="16"/>
      <c r="M51" s="17"/>
      <c r="N51" s="193">
        <f t="shared" si="3"/>
        <v>450</v>
      </c>
      <c r="O51" s="193">
        <f t="shared" si="0"/>
        <v>14550</v>
      </c>
      <c r="P51" s="191" t="s">
        <v>125</v>
      </c>
    </row>
    <row r="52" spans="1:16" s="200" customFormat="1" ht="20.25" customHeight="1">
      <c r="A52" s="199">
        <v>46</v>
      </c>
      <c r="B52" s="196" t="s">
        <v>123</v>
      </c>
      <c r="C52" s="201">
        <v>1229900813291</v>
      </c>
      <c r="D52" s="199" t="s">
        <v>72</v>
      </c>
      <c r="E52" s="199" t="s">
        <v>168</v>
      </c>
      <c r="F52" s="198">
        <f>H52*I52</f>
        <v>4550</v>
      </c>
      <c r="G52" s="27" t="s">
        <v>119</v>
      </c>
      <c r="H52" s="13">
        <v>325</v>
      </c>
      <c r="I52" s="13">
        <v>14</v>
      </c>
      <c r="J52" s="13"/>
      <c r="K52" s="13"/>
      <c r="L52" s="16"/>
      <c r="M52" s="17"/>
      <c r="N52" s="198">
        <f t="shared" si="3"/>
        <v>137</v>
      </c>
      <c r="O52" s="198">
        <f t="shared" si="0"/>
        <v>4413</v>
      </c>
      <c r="P52" s="199" t="s">
        <v>125</v>
      </c>
    </row>
    <row r="53" spans="1:16" s="44" customFormat="1" ht="20.25" customHeight="1">
      <c r="A53" s="378" t="s">
        <v>103</v>
      </c>
      <c r="B53" s="379"/>
      <c r="C53" s="379"/>
      <c r="D53" s="380"/>
      <c r="E53" s="178"/>
      <c r="F53" s="28">
        <f>SUM(F7:F52)</f>
        <v>755610</v>
      </c>
      <c r="G53" s="28"/>
      <c r="H53" s="28"/>
      <c r="I53" s="28"/>
      <c r="J53" s="28"/>
      <c r="K53" s="28"/>
      <c r="L53" s="28"/>
      <c r="M53" s="28"/>
      <c r="N53" s="28">
        <f>SUM(N7:N52)</f>
        <v>17601</v>
      </c>
      <c r="O53" s="28">
        <f>SUM(O7:O52)</f>
        <v>738009</v>
      </c>
      <c r="P53" s="13"/>
    </row>
    <row r="54" spans="1:16" ht="20.25" customHeight="1">
      <c r="A54" s="3"/>
      <c r="B54" s="3"/>
      <c r="C54" s="3"/>
      <c r="D54" s="3"/>
      <c r="E54" s="3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"/>
    </row>
    <row r="55" spans="1:16" ht="20.25" customHeight="1">
      <c r="A55" s="3"/>
      <c r="B55" s="41" t="s">
        <v>12</v>
      </c>
      <c r="C55" s="3"/>
      <c r="D55" s="3"/>
      <c r="E55" s="3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"/>
    </row>
    <row r="56" spans="1:16" ht="20.25" customHeight="1">
      <c r="A56" s="3"/>
      <c r="B56" s="41" t="s">
        <v>104</v>
      </c>
      <c r="C56" s="41" t="s">
        <v>59</v>
      </c>
      <c r="D56" s="41" t="s">
        <v>116</v>
      </c>
      <c r="E56" s="41"/>
      <c r="F56" s="41" t="s">
        <v>105</v>
      </c>
      <c r="G56" s="3"/>
      <c r="H56" s="3"/>
      <c r="I56" s="3"/>
      <c r="J56" s="3"/>
      <c r="K56" s="3"/>
      <c r="L56" s="3"/>
      <c r="M56" s="3"/>
      <c r="N56" s="45"/>
      <c r="O56" s="3"/>
      <c r="P56" s="3"/>
    </row>
    <row r="57" spans="1:16" ht="20.25" customHeight="1">
      <c r="A57" s="3"/>
      <c r="B57" s="41"/>
      <c r="C57" s="41"/>
      <c r="D57" s="195" t="s">
        <v>167</v>
      </c>
      <c r="E57" s="195" t="s">
        <v>158</v>
      </c>
      <c r="F57" s="28" t="s">
        <v>159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21.75" customHeight="1">
      <c r="A58" s="3"/>
      <c r="B58" s="203"/>
      <c r="C58" s="3"/>
      <c r="D58" s="199" t="s">
        <v>168</v>
      </c>
      <c r="E58" s="197">
        <f>+F7+F10+F13+F16+F17+F18+F19+F20+F23+F24+F25+F26+F27+F28+F29+F30+F32+F34+F35+F37+F38+F39+F40+F41+F42+F43+F44+F45+F46+F48+F49+F50+F52</f>
        <v>526710</v>
      </c>
      <c r="F58" s="197">
        <f>+N7+N10+N13+N16+N17+N18+N19+N20+N23+N24+N25+N26+N27+N28+N29+N30+N32+N34+N35+N37+N38+N39+N40+N41+N42+N43+N44+N45+N46+N48+N49+N50+N52</f>
        <v>11934</v>
      </c>
      <c r="G58" s="207"/>
    </row>
    <row r="59" spans="1:16" ht="21.75">
      <c r="D59" s="191" t="s">
        <v>169</v>
      </c>
      <c r="E59" s="204">
        <f>+F8+F9+F11+F12+F14+F15+F21+F22+F31+F33+F36+F47+F51</f>
        <v>228900</v>
      </c>
      <c r="F59" s="204">
        <f>+N8+N9+N11+N12+N14+N15+N21+N22+N31+N33+N36+N47+N51</f>
        <v>5667</v>
      </c>
    </row>
    <row r="60" spans="1:16" ht="24">
      <c r="D60" s="195" t="s">
        <v>147</v>
      </c>
      <c r="E60" s="233">
        <f>SUBTOTAL(9,E58:E59)</f>
        <v>755610</v>
      </c>
      <c r="F60" s="233">
        <f>SUBTOTAL(9,F58:F59)</f>
        <v>17601</v>
      </c>
    </row>
  </sheetData>
  <autoFilter ref="A5:P53" xr:uid="{BFDA4A9C-F3F2-4413-84DA-71651DDE9391}">
    <filterColumn colId="7" showButton="0"/>
    <filterColumn colId="9" showButton="0"/>
    <filterColumn colId="11" showButton="0"/>
    <filterColumn colId="12" showButton="0"/>
  </autoFilter>
  <mergeCells count="16">
    <mergeCell ref="A53:D53"/>
    <mergeCell ref="E5:E6"/>
    <mergeCell ref="A1:P1"/>
    <mergeCell ref="A2:P2"/>
    <mergeCell ref="A3:P3"/>
    <mergeCell ref="A5:A6"/>
    <mergeCell ref="B5:B6"/>
    <mergeCell ref="C5:C6"/>
    <mergeCell ref="D5:D6"/>
    <mergeCell ref="F5:F6"/>
    <mergeCell ref="G5:G6"/>
    <mergeCell ref="H5:I5"/>
    <mergeCell ref="J5:K5"/>
    <mergeCell ref="L5:N5"/>
    <mergeCell ref="O5:O6"/>
    <mergeCell ref="P5:P6"/>
  </mergeCells>
  <printOptions horizontalCentered="1"/>
  <pageMargins left="0.11811023622047245" right="0.19685039370078741" top="0.39370078740157483" bottom="0.22" header="0.31496062992125984" footer="0.11811023622047245"/>
  <pageSetup paperSize="9" scale="80" orientation="landscape" r:id="rId1"/>
  <rowBreaks count="2" manualBreakCount="2">
    <brk id="30" max="16383" man="1"/>
    <brk id="53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0E016-184D-4E40-A7B1-BF384C4B843E}">
  <dimension ref="A1:P58"/>
  <sheetViews>
    <sheetView view="pageBreakPreview" zoomScale="90" zoomScaleNormal="100" zoomScaleSheetLayoutView="90" workbookViewId="0">
      <pane xSplit="5" ySplit="6" topLeftCell="F7" activePane="bottomRight" state="frozen"/>
      <selection pane="topRight" activeCell="G1" sqref="G1"/>
      <selection pane="bottomLeft" activeCell="A7" sqref="A7"/>
      <selection pane="bottomRight" activeCell="O10" sqref="O10"/>
    </sheetView>
  </sheetViews>
  <sheetFormatPr defaultColWidth="9" defaultRowHeight="21.75"/>
  <cols>
    <col min="1" max="1" width="9" style="2"/>
    <col min="2" max="3" width="22.7109375" style="1" customWidth="1"/>
    <col min="4" max="4" width="17.5703125" style="1" customWidth="1"/>
    <col min="5" max="5" width="13" style="1" bestFit="1" customWidth="1"/>
    <col min="6" max="6" width="14.7109375" style="1" bestFit="1" customWidth="1"/>
    <col min="7" max="7" width="5" style="1" bestFit="1" customWidth="1"/>
    <col min="8" max="8" width="7.5703125" style="1" bestFit="1" customWidth="1"/>
    <col min="9" max="9" width="3.7109375" style="1" bestFit="1" customWidth="1"/>
    <col min="10" max="10" width="7" style="1" bestFit="1" customWidth="1"/>
    <col min="11" max="11" width="6.7109375" style="1" bestFit="1" customWidth="1"/>
    <col min="12" max="12" width="5.42578125" style="1" bestFit="1" customWidth="1"/>
    <col min="13" max="13" width="15.85546875" style="1" bestFit="1" customWidth="1"/>
    <col min="14" max="14" width="10.42578125" style="1" bestFit="1" customWidth="1"/>
    <col min="15" max="15" width="24.5703125" style="1" bestFit="1" customWidth="1"/>
    <col min="16" max="16" width="15.28515625" style="76" bestFit="1" customWidth="1"/>
    <col min="17" max="16384" width="9" style="1"/>
  </cols>
  <sheetData>
    <row r="1" spans="1:16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</row>
    <row r="2" spans="1:16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</row>
    <row r="3" spans="1:16" ht="20.25" customHeight="1">
      <c r="A3" s="381" t="s">
        <v>135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</row>
    <row r="4" spans="1:16" ht="20.25" customHeight="1">
      <c r="A4" s="4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20.25" customHeight="1">
      <c r="A5" s="405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394" t="s">
        <v>10</v>
      </c>
      <c r="L5" s="394"/>
      <c r="M5" s="394"/>
      <c r="N5" s="395" t="s">
        <v>11</v>
      </c>
      <c r="O5" s="401" t="s">
        <v>12</v>
      </c>
      <c r="P5" s="384" t="s">
        <v>149</v>
      </c>
    </row>
    <row r="6" spans="1:16" ht="20.25" customHeight="1">
      <c r="A6" s="406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42" t="s">
        <v>17</v>
      </c>
      <c r="L6" s="42" t="s">
        <v>18</v>
      </c>
      <c r="M6" s="43" t="s">
        <v>136</v>
      </c>
      <c r="N6" s="396"/>
      <c r="O6" s="401"/>
      <c r="P6" s="385"/>
    </row>
    <row r="7" spans="1:16" ht="20.25" customHeight="1">
      <c r="A7" s="22">
        <v>1</v>
      </c>
      <c r="B7" s="14" t="s">
        <v>20</v>
      </c>
      <c r="C7" s="13" t="s">
        <v>21</v>
      </c>
      <c r="D7" s="13" t="s">
        <v>22</v>
      </c>
      <c r="E7" s="15">
        <v>14600</v>
      </c>
      <c r="F7" s="13"/>
      <c r="G7" s="13"/>
      <c r="H7" s="13"/>
      <c r="I7" s="13"/>
      <c r="J7" s="13"/>
      <c r="K7" s="16"/>
      <c r="L7" s="15"/>
      <c r="M7" s="15">
        <f>ROUND(E7*0.5%,0)</f>
        <v>73</v>
      </c>
      <c r="N7" s="15">
        <f>SUM(E7-M7)</f>
        <v>14527</v>
      </c>
      <c r="O7" s="18"/>
      <c r="P7" s="15">
        <f>+E7*3/100</f>
        <v>438</v>
      </c>
    </row>
    <row r="8" spans="1:16" ht="20.25" customHeight="1">
      <c r="A8" s="22">
        <v>2</v>
      </c>
      <c r="B8" s="14" t="s">
        <v>23</v>
      </c>
      <c r="C8" s="13" t="s">
        <v>24</v>
      </c>
      <c r="D8" s="13" t="s">
        <v>19</v>
      </c>
      <c r="E8" s="15">
        <v>13500</v>
      </c>
      <c r="F8" s="13"/>
      <c r="G8" s="13"/>
      <c r="H8" s="13"/>
      <c r="I8" s="13"/>
      <c r="J8" s="13"/>
      <c r="K8" s="16"/>
      <c r="L8" s="15"/>
      <c r="M8" s="15">
        <f t="shared" ref="M8:M50" si="0">ROUND(E8*0.5%,0)</f>
        <v>68</v>
      </c>
      <c r="N8" s="15">
        <f t="shared" ref="N8:N50" si="1">SUM(E8-M8)</f>
        <v>13432</v>
      </c>
      <c r="O8" s="18"/>
      <c r="P8" s="77">
        <f t="shared" ref="P8:P52" si="2">+E8*3/100</f>
        <v>405</v>
      </c>
    </row>
    <row r="9" spans="1:16" ht="20.25" customHeight="1">
      <c r="A9" s="22">
        <v>3</v>
      </c>
      <c r="B9" s="14" t="s">
        <v>25</v>
      </c>
      <c r="C9" s="13" t="s">
        <v>26</v>
      </c>
      <c r="D9" s="13" t="s">
        <v>27</v>
      </c>
      <c r="E9" s="15">
        <v>13400</v>
      </c>
      <c r="F9" s="13"/>
      <c r="G9" s="13"/>
      <c r="H9" s="13"/>
      <c r="I9" s="13"/>
      <c r="J9" s="13"/>
      <c r="K9" s="16"/>
      <c r="L9" s="15"/>
      <c r="M9" s="15">
        <f t="shared" si="0"/>
        <v>67</v>
      </c>
      <c r="N9" s="15">
        <f t="shared" si="1"/>
        <v>13333</v>
      </c>
      <c r="O9" s="18"/>
      <c r="P9" s="77">
        <f t="shared" si="2"/>
        <v>402</v>
      </c>
    </row>
    <row r="10" spans="1:16" s="8" customFormat="1" ht="20.25" customHeight="1">
      <c r="A10" s="22">
        <v>4</v>
      </c>
      <c r="B10" s="37" t="s">
        <v>28</v>
      </c>
      <c r="C10" s="18" t="s">
        <v>29</v>
      </c>
      <c r="D10" s="18" t="s">
        <v>22</v>
      </c>
      <c r="E10" s="33">
        <f>G10*H10</f>
        <v>4870</v>
      </c>
      <c r="F10" s="18"/>
      <c r="G10" s="18">
        <v>487</v>
      </c>
      <c r="H10" s="18">
        <v>10</v>
      </c>
      <c r="I10" s="18"/>
      <c r="J10" s="18"/>
      <c r="K10" s="35"/>
      <c r="L10" s="33"/>
      <c r="M10" s="33">
        <f t="shared" si="0"/>
        <v>24</v>
      </c>
      <c r="N10" s="33">
        <f t="shared" si="1"/>
        <v>4846</v>
      </c>
      <c r="O10" s="18" t="s">
        <v>148</v>
      </c>
      <c r="P10" s="77">
        <v>146</v>
      </c>
    </row>
    <row r="11" spans="1:16" ht="20.25" customHeight="1">
      <c r="A11" s="22">
        <v>5</v>
      </c>
      <c r="B11" s="14" t="s">
        <v>30</v>
      </c>
      <c r="C11" s="13" t="s">
        <v>31</v>
      </c>
      <c r="D11" s="13" t="s">
        <v>32</v>
      </c>
      <c r="E11" s="15">
        <v>16500</v>
      </c>
      <c r="F11" s="13"/>
      <c r="G11" s="13"/>
      <c r="H11" s="13"/>
      <c r="I11" s="13"/>
      <c r="J11" s="13"/>
      <c r="K11" s="16"/>
      <c r="L11" s="15"/>
      <c r="M11" s="15">
        <v>75</v>
      </c>
      <c r="N11" s="15">
        <f t="shared" si="1"/>
        <v>16425</v>
      </c>
      <c r="O11" s="18"/>
      <c r="P11" s="77">
        <v>450</v>
      </c>
    </row>
    <row r="12" spans="1:16" ht="20.25" customHeight="1">
      <c r="A12" s="22">
        <v>6</v>
      </c>
      <c r="B12" s="14" t="s">
        <v>33</v>
      </c>
      <c r="C12" s="13" t="s">
        <v>34</v>
      </c>
      <c r="D12" s="13" t="s">
        <v>32</v>
      </c>
      <c r="E12" s="15">
        <v>17300</v>
      </c>
      <c r="F12" s="13"/>
      <c r="G12" s="13"/>
      <c r="H12" s="13"/>
      <c r="I12" s="13"/>
      <c r="J12" s="13"/>
      <c r="K12" s="16"/>
      <c r="L12" s="15"/>
      <c r="M12" s="15">
        <v>75</v>
      </c>
      <c r="N12" s="15">
        <f t="shared" si="1"/>
        <v>17225</v>
      </c>
      <c r="O12" s="18"/>
      <c r="P12" s="77">
        <v>450</v>
      </c>
    </row>
    <row r="13" spans="1:16" ht="20.25" customHeight="1">
      <c r="A13" s="22">
        <v>7</v>
      </c>
      <c r="B13" s="14" t="s">
        <v>35</v>
      </c>
      <c r="C13" s="13" t="s">
        <v>36</v>
      </c>
      <c r="D13" s="13" t="s">
        <v>37</v>
      </c>
      <c r="E13" s="15">
        <v>19000</v>
      </c>
      <c r="F13" s="13"/>
      <c r="G13" s="13"/>
      <c r="H13" s="13"/>
      <c r="I13" s="13"/>
      <c r="J13" s="13"/>
      <c r="K13" s="16"/>
      <c r="L13" s="15"/>
      <c r="M13" s="15">
        <v>75</v>
      </c>
      <c r="N13" s="15">
        <f t="shared" si="1"/>
        <v>18925</v>
      </c>
      <c r="O13" s="18"/>
      <c r="P13" s="77">
        <v>450</v>
      </c>
    </row>
    <row r="14" spans="1:16" ht="20.25" customHeight="1">
      <c r="A14" s="22">
        <v>8</v>
      </c>
      <c r="B14" s="14" t="s">
        <v>38</v>
      </c>
      <c r="C14" s="13" t="s">
        <v>39</v>
      </c>
      <c r="D14" s="13" t="s">
        <v>32</v>
      </c>
      <c r="E14" s="15">
        <v>25000</v>
      </c>
      <c r="F14" s="13"/>
      <c r="G14" s="13"/>
      <c r="H14" s="13"/>
      <c r="I14" s="13"/>
      <c r="J14" s="13"/>
      <c r="K14" s="16"/>
      <c r="L14" s="15"/>
      <c r="M14" s="15">
        <v>75</v>
      </c>
      <c r="N14" s="15">
        <f t="shared" si="1"/>
        <v>24925</v>
      </c>
      <c r="O14" s="18"/>
      <c r="P14" s="77">
        <v>450</v>
      </c>
    </row>
    <row r="15" spans="1:16" ht="20.25" customHeight="1">
      <c r="A15" s="22">
        <v>9</v>
      </c>
      <c r="B15" s="14" t="s">
        <v>40</v>
      </c>
      <c r="C15" s="13" t="s">
        <v>41</v>
      </c>
      <c r="D15" s="13" t="s">
        <v>32</v>
      </c>
      <c r="E15" s="15">
        <v>20500</v>
      </c>
      <c r="F15" s="13"/>
      <c r="G15" s="13"/>
      <c r="H15" s="13"/>
      <c r="I15" s="13"/>
      <c r="J15" s="13"/>
      <c r="K15" s="16"/>
      <c r="L15" s="15"/>
      <c r="M15" s="15">
        <v>75</v>
      </c>
      <c r="N15" s="15">
        <f t="shared" si="1"/>
        <v>20425</v>
      </c>
      <c r="O15" s="18"/>
      <c r="P15" s="77">
        <v>450</v>
      </c>
    </row>
    <row r="16" spans="1:16" ht="20.25" customHeight="1">
      <c r="A16" s="22">
        <v>10</v>
      </c>
      <c r="B16" s="14" t="s">
        <v>42</v>
      </c>
      <c r="C16" s="13" t="s">
        <v>43</v>
      </c>
      <c r="D16" s="13" t="s">
        <v>44</v>
      </c>
      <c r="E16" s="15">
        <v>25000</v>
      </c>
      <c r="F16" s="13"/>
      <c r="G16" s="13"/>
      <c r="H16" s="13"/>
      <c r="I16" s="13"/>
      <c r="J16" s="13"/>
      <c r="K16" s="16"/>
      <c r="L16" s="15"/>
      <c r="M16" s="15">
        <v>75</v>
      </c>
      <c r="N16" s="15">
        <f t="shared" si="1"/>
        <v>24925</v>
      </c>
      <c r="O16" s="18"/>
      <c r="P16" s="77">
        <v>450</v>
      </c>
    </row>
    <row r="17" spans="1:16" ht="20.25" customHeight="1">
      <c r="A17" s="22">
        <v>11</v>
      </c>
      <c r="B17" s="14" t="s">
        <v>45</v>
      </c>
      <c r="C17" s="13" t="s">
        <v>46</v>
      </c>
      <c r="D17" s="13" t="s">
        <v>44</v>
      </c>
      <c r="E17" s="15">
        <v>19700</v>
      </c>
      <c r="F17" s="13"/>
      <c r="G17" s="13"/>
      <c r="H17" s="13"/>
      <c r="I17" s="13"/>
      <c r="J17" s="13"/>
      <c r="K17" s="16"/>
      <c r="L17" s="15"/>
      <c r="M17" s="15">
        <v>75</v>
      </c>
      <c r="N17" s="15">
        <f t="shared" si="1"/>
        <v>19625</v>
      </c>
      <c r="O17" s="18"/>
      <c r="P17" s="77">
        <v>450</v>
      </c>
    </row>
    <row r="18" spans="1:16" ht="20.25" customHeight="1">
      <c r="A18" s="22">
        <v>12</v>
      </c>
      <c r="B18" s="14" t="s">
        <v>47</v>
      </c>
      <c r="C18" s="13" t="s">
        <v>48</v>
      </c>
      <c r="D18" s="13" t="s">
        <v>44</v>
      </c>
      <c r="E18" s="15">
        <v>17600</v>
      </c>
      <c r="F18" s="13"/>
      <c r="G18" s="13"/>
      <c r="H18" s="13"/>
      <c r="I18" s="13"/>
      <c r="J18" s="13"/>
      <c r="K18" s="16"/>
      <c r="L18" s="15"/>
      <c r="M18" s="15">
        <v>75</v>
      </c>
      <c r="N18" s="15">
        <f t="shared" si="1"/>
        <v>17525</v>
      </c>
      <c r="O18" s="18"/>
      <c r="P18" s="77">
        <v>450</v>
      </c>
    </row>
    <row r="19" spans="1:16" ht="20.25" customHeight="1">
      <c r="A19" s="22">
        <v>13</v>
      </c>
      <c r="B19" s="14" t="s">
        <v>49</v>
      </c>
      <c r="C19" s="13" t="s">
        <v>50</v>
      </c>
      <c r="D19" s="13" t="s">
        <v>37</v>
      </c>
      <c r="E19" s="15">
        <v>25000</v>
      </c>
      <c r="F19" s="13"/>
      <c r="G19" s="13"/>
      <c r="H19" s="13"/>
      <c r="I19" s="13"/>
      <c r="J19" s="13"/>
      <c r="K19" s="16"/>
      <c r="L19" s="15"/>
      <c r="M19" s="15">
        <v>75</v>
      </c>
      <c r="N19" s="15">
        <f t="shared" si="1"/>
        <v>24925</v>
      </c>
      <c r="O19" s="18"/>
      <c r="P19" s="77">
        <v>450</v>
      </c>
    </row>
    <row r="20" spans="1:16" ht="20.25" customHeight="1">
      <c r="A20" s="22">
        <v>14</v>
      </c>
      <c r="B20" s="14" t="s">
        <v>51</v>
      </c>
      <c r="C20" s="13" t="s">
        <v>52</v>
      </c>
      <c r="D20" s="13" t="s">
        <v>44</v>
      </c>
      <c r="E20" s="15">
        <v>22700</v>
      </c>
      <c r="F20" s="13"/>
      <c r="G20" s="13"/>
      <c r="H20" s="13"/>
      <c r="I20" s="13"/>
      <c r="J20" s="13"/>
      <c r="K20" s="16"/>
      <c r="L20" s="15"/>
      <c r="M20" s="15">
        <v>75</v>
      </c>
      <c r="N20" s="15">
        <f t="shared" si="1"/>
        <v>22625</v>
      </c>
      <c r="O20" s="18"/>
      <c r="P20" s="77">
        <v>450</v>
      </c>
    </row>
    <row r="21" spans="1:16" ht="20.25" customHeight="1">
      <c r="A21" s="22">
        <v>15</v>
      </c>
      <c r="B21" s="14" t="s">
        <v>53</v>
      </c>
      <c r="C21" s="13" t="s">
        <v>54</v>
      </c>
      <c r="D21" s="13" t="s">
        <v>55</v>
      </c>
      <c r="E21" s="15">
        <v>23500</v>
      </c>
      <c r="F21" s="13"/>
      <c r="G21" s="13"/>
      <c r="H21" s="13"/>
      <c r="I21" s="13"/>
      <c r="J21" s="13"/>
      <c r="K21" s="16"/>
      <c r="L21" s="15"/>
      <c r="M21" s="15">
        <v>75</v>
      </c>
      <c r="N21" s="15">
        <f t="shared" si="1"/>
        <v>23425</v>
      </c>
      <c r="O21" s="18"/>
      <c r="P21" s="77">
        <v>450</v>
      </c>
    </row>
    <row r="22" spans="1:16" ht="20.25" customHeight="1">
      <c r="A22" s="22">
        <v>16</v>
      </c>
      <c r="B22" s="14" t="s">
        <v>56</v>
      </c>
      <c r="C22" s="13" t="s">
        <v>57</v>
      </c>
      <c r="D22" s="13" t="s">
        <v>58</v>
      </c>
      <c r="E22" s="15">
        <v>25000</v>
      </c>
      <c r="F22" s="13"/>
      <c r="G22" s="13"/>
      <c r="H22" s="13"/>
      <c r="I22" s="13"/>
      <c r="J22" s="13"/>
      <c r="K22" s="16"/>
      <c r="L22" s="15"/>
      <c r="M22" s="15">
        <v>75</v>
      </c>
      <c r="N22" s="15">
        <f t="shared" si="1"/>
        <v>24925</v>
      </c>
      <c r="O22" s="18"/>
      <c r="P22" s="77">
        <v>450</v>
      </c>
    </row>
    <row r="23" spans="1:16" ht="20.25" customHeight="1">
      <c r="A23" s="22">
        <v>17</v>
      </c>
      <c r="B23" s="14" t="s">
        <v>60</v>
      </c>
      <c r="C23" s="13" t="s">
        <v>61</v>
      </c>
      <c r="D23" s="13" t="s">
        <v>44</v>
      </c>
      <c r="E23" s="15">
        <v>25000</v>
      </c>
      <c r="F23" s="13"/>
      <c r="G23" s="13"/>
      <c r="H23" s="13"/>
      <c r="I23" s="13"/>
      <c r="J23" s="13"/>
      <c r="K23" s="16"/>
      <c r="L23" s="15"/>
      <c r="M23" s="15">
        <v>75</v>
      </c>
      <c r="N23" s="15">
        <f t="shared" si="1"/>
        <v>24925</v>
      </c>
      <c r="O23" s="18"/>
      <c r="P23" s="77">
        <v>450</v>
      </c>
    </row>
    <row r="24" spans="1:16" ht="20.25" customHeight="1">
      <c r="A24" s="22">
        <v>18</v>
      </c>
      <c r="B24" s="14" t="s">
        <v>62</v>
      </c>
      <c r="C24" s="13" t="s">
        <v>63</v>
      </c>
      <c r="D24" s="13" t="s">
        <v>44</v>
      </c>
      <c r="E24" s="15">
        <v>25000</v>
      </c>
      <c r="F24" s="13"/>
      <c r="G24" s="13"/>
      <c r="H24" s="13"/>
      <c r="I24" s="13"/>
      <c r="J24" s="13"/>
      <c r="K24" s="16"/>
      <c r="L24" s="15"/>
      <c r="M24" s="15">
        <v>75</v>
      </c>
      <c r="N24" s="15">
        <f t="shared" si="1"/>
        <v>24925</v>
      </c>
      <c r="O24" s="18"/>
      <c r="P24" s="77">
        <v>450</v>
      </c>
    </row>
    <row r="25" spans="1:16" ht="20.25" customHeight="1">
      <c r="A25" s="22">
        <v>19</v>
      </c>
      <c r="B25" s="14" t="s">
        <v>64</v>
      </c>
      <c r="C25" s="13" t="s">
        <v>65</v>
      </c>
      <c r="D25" s="13" t="s">
        <v>44</v>
      </c>
      <c r="E25" s="15">
        <v>25000</v>
      </c>
      <c r="F25" s="13"/>
      <c r="G25" s="13"/>
      <c r="H25" s="13"/>
      <c r="I25" s="13"/>
      <c r="J25" s="13"/>
      <c r="K25" s="16"/>
      <c r="L25" s="15"/>
      <c r="M25" s="15">
        <v>75</v>
      </c>
      <c r="N25" s="15">
        <f t="shared" si="1"/>
        <v>24925</v>
      </c>
      <c r="O25" s="18"/>
      <c r="P25" s="77">
        <v>450</v>
      </c>
    </row>
    <row r="26" spans="1:16" ht="20.25" customHeight="1">
      <c r="A26" s="22">
        <v>20</v>
      </c>
      <c r="B26" s="14" t="s">
        <v>66</v>
      </c>
      <c r="C26" s="13" t="s">
        <v>67</v>
      </c>
      <c r="D26" s="13" t="s">
        <v>44</v>
      </c>
      <c r="E26" s="15">
        <v>25000</v>
      </c>
      <c r="F26" s="13"/>
      <c r="G26" s="13"/>
      <c r="H26" s="13"/>
      <c r="I26" s="13"/>
      <c r="J26" s="13"/>
      <c r="K26" s="16"/>
      <c r="L26" s="15"/>
      <c r="M26" s="15">
        <v>75</v>
      </c>
      <c r="N26" s="15">
        <f t="shared" si="1"/>
        <v>24925</v>
      </c>
      <c r="O26" s="18"/>
      <c r="P26" s="77">
        <v>450</v>
      </c>
    </row>
    <row r="27" spans="1:16" ht="20.25" customHeight="1">
      <c r="A27" s="22">
        <v>21</v>
      </c>
      <c r="B27" s="14" t="s">
        <v>68</v>
      </c>
      <c r="C27" s="13" t="s">
        <v>69</v>
      </c>
      <c r="D27" s="13" t="s">
        <v>44</v>
      </c>
      <c r="E27" s="15">
        <v>25000</v>
      </c>
      <c r="F27" s="13"/>
      <c r="G27" s="13"/>
      <c r="H27" s="13"/>
      <c r="I27" s="13"/>
      <c r="J27" s="13"/>
      <c r="K27" s="16"/>
      <c r="L27" s="15"/>
      <c r="M27" s="15">
        <v>75</v>
      </c>
      <c r="N27" s="15">
        <f t="shared" si="1"/>
        <v>24925</v>
      </c>
      <c r="O27" s="18"/>
      <c r="P27" s="77">
        <v>450</v>
      </c>
    </row>
    <row r="28" spans="1:16" ht="20.25" customHeight="1">
      <c r="A28" s="22">
        <v>22</v>
      </c>
      <c r="B28" s="14" t="s">
        <v>70</v>
      </c>
      <c r="C28" s="13" t="s">
        <v>71</v>
      </c>
      <c r="D28" s="13" t="s">
        <v>72</v>
      </c>
      <c r="E28" s="15">
        <v>8800</v>
      </c>
      <c r="F28" s="13"/>
      <c r="G28" s="13">
        <v>400</v>
      </c>
      <c r="H28" s="13">
        <v>22</v>
      </c>
      <c r="I28" s="13"/>
      <c r="J28" s="13"/>
      <c r="K28" s="16"/>
      <c r="L28" s="15"/>
      <c r="M28" s="15">
        <f t="shared" si="0"/>
        <v>44</v>
      </c>
      <c r="N28" s="15">
        <f>SUM(E28-M28)</f>
        <v>8756</v>
      </c>
      <c r="O28" s="15"/>
      <c r="P28" s="77">
        <f t="shared" si="2"/>
        <v>264</v>
      </c>
    </row>
    <row r="29" spans="1:16" ht="20.25" customHeight="1">
      <c r="A29" s="22">
        <v>23</v>
      </c>
      <c r="B29" s="14" t="s">
        <v>73</v>
      </c>
      <c r="C29" s="13" t="s">
        <v>74</v>
      </c>
      <c r="D29" s="13" t="s">
        <v>72</v>
      </c>
      <c r="E29" s="15">
        <f>+G29*H29</f>
        <v>7920</v>
      </c>
      <c r="F29" s="13"/>
      <c r="G29" s="13">
        <v>360</v>
      </c>
      <c r="H29" s="13">
        <v>22</v>
      </c>
      <c r="I29" s="13"/>
      <c r="J29" s="13"/>
      <c r="K29" s="16"/>
      <c r="L29" s="15"/>
      <c r="M29" s="15">
        <f t="shared" si="0"/>
        <v>40</v>
      </c>
      <c r="N29" s="15">
        <f t="shared" si="1"/>
        <v>7880</v>
      </c>
      <c r="O29" s="15"/>
      <c r="P29" s="77">
        <v>238</v>
      </c>
    </row>
    <row r="30" spans="1:16" ht="20.25" customHeight="1">
      <c r="A30" s="22">
        <v>24</v>
      </c>
      <c r="B30" s="14" t="s">
        <v>75</v>
      </c>
      <c r="C30" s="13" t="s">
        <v>76</v>
      </c>
      <c r="D30" s="13" t="s">
        <v>44</v>
      </c>
      <c r="E30" s="15">
        <v>25000</v>
      </c>
      <c r="F30" s="13"/>
      <c r="G30" s="13"/>
      <c r="H30" s="13"/>
      <c r="I30" s="13"/>
      <c r="J30" s="13"/>
      <c r="K30" s="16"/>
      <c r="L30" s="15"/>
      <c r="M30" s="15">
        <v>75</v>
      </c>
      <c r="N30" s="15">
        <f t="shared" si="1"/>
        <v>24925</v>
      </c>
      <c r="O30" s="18"/>
      <c r="P30" s="77">
        <v>450</v>
      </c>
    </row>
    <row r="31" spans="1:16" ht="20.25" customHeight="1">
      <c r="A31" s="22">
        <v>25</v>
      </c>
      <c r="B31" s="14" t="s">
        <v>77</v>
      </c>
      <c r="C31" s="13" t="s">
        <v>78</v>
      </c>
      <c r="D31" s="13" t="s">
        <v>79</v>
      </c>
      <c r="E31" s="15">
        <v>15500</v>
      </c>
      <c r="F31" s="73" t="s">
        <v>80</v>
      </c>
      <c r="G31" s="13"/>
      <c r="H31" s="13"/>
      <c r="I31" s="13"/>
      <c r="J31" s="13"/>
      <c r="K31" s="16"/>
      <c r="L31" s="15"/>
      <c r="M31" s="15">
        <v>75</v>
      </c>
      <c r="N31" s="15">
        <f t="shared" si="1"/>
        <v>15425</v>
      </c>
      <c r="O31" s="18"/>
      <c r="P31" s="77">
        <v>450</v>
      </c>
    </row>
    <row r="32" spans="1:16" s="2" customFormat="1" ht="20.25" customHeight="1">
      <c r="A32" s="22">
        <v>26</v>
      </c>
      <c r="B32" s="21" t="s">
        <v>84</v>
      </c>
      <c r="C32" s="22" t="s">
        <v>85</v>
      </c>
      <c r="D32" s="22" t="s">
        <v>32</v>
      </c>
      <c r="E32" s="23">
        <v>15500</v>
      </c>
      <c r="F32" s="73" t="s">
        <v>83</v>
      </c>
      <c r="G32" s="22"/>
      <c r="H32" s="22"/>
      <c r="I32" s="22"/>
      <c r="J32" s="22"/>
      <c r="K32" s="16"/>
      <c r="L32" s="15"/>
      <c r="M32" s="15">
        <v>75</v>
      </c>
      <c r="N32" s="15">
        <f t="shared" si="1"/>
        <v>15425</v>
      </c>
      <c r="O32" s="18"/>
      <c r="P32" s="77">
        <v>450</v>
      </c>
    </row>
    <row r="33" spans="1:16" ht="20.25" customHeight="1">
      <c r="A33" s="22">
        <v>27</v>
      </c>
      <c r="B33" s="14" t="s">
        <v>86</v>
      </c>
      <c r="C33" s="13" t="s">
        <v>87</v>
      </c>
      <c r="D33" s="13" t="s">
        <v>44</v>
      </c>
      <c r="E33" s="15">
        <v>25000</v>
      </c>
      <c r="F33" s="74" t="s">
        <v>88</v>
      </c>
      <c r="G33" s="13"/>
      <c r="H33" s="13"/>
      <c r="I33" s="13"/>
      <c r="J33" s="13"/>
      <c r="K33" s="16"/>
      <c r="L33" s="15"/>
      <c r="M33" s="15">
        <v>75</v>
      </c>
      <c r="N33" s="15">
        <f t="shared" si="1"/>
        <v>24925</v>
      </c>
      <c r="O33" s="33"/>
      <c r="P33" s="77">
        <v>450</v>
      </c>
    </row>
    <row r="34" spans="1:16" ht="20.25" customHeight="1">
      <c r="A34" s="22">
        <v>28</v>
      </c>
      <c r="B34" s="14" t="s">
        <v>89</v>
      </c>
      <c r="C34" s="13" t="s">
        <v>90</v>
      </c>
      <c r="D34" s="13" t="s">
        <v>72</v>
      </c>
      <c r="E34" s="15">
        <f>+G34*H34</f>
        <v>7600</v>
      </c>
      <c r="F34" s="74" t="s">
        <v>88</v>
      </c>
      <c r="G34" s="13">
        <v>380</v>
      </c>
      <c r="H34" s="13">
        <v>20</v>
      </c>
      <c r="I34" s="13"/>
      <c r="J34" s="13"/>
      <c r="K34" s="16"/>
      <c r="L34" s="15"/>
      <c r="M34" s="15">
        <f t="shared" si="0"/>
        <v>38</v>
      </c>
      <c r="N34" s="15">
        <f t="shared" si="1"/>
        <v>7562</v>
      </c>
      <c r="O34" s="33"/>
      <c r="P34" s="77">
        <f t="shared" si="2"/>
        <v>228</v>
      </c>
    </row>
    <row r="35" spans="1:16" ht="20.25" customHeight="1">
      <c r="A35" s="22">
        <v>29</v>
      </c>
      <c r="B35" s="14" t="s">
        <v>91</v>
      </c>
      <c r="C35" s="13" t="s">
        <v>92</v>
      </c>
      <c r="D35" s="13" t="s">
        <v>32</v>
      </c>
      <c r="E35" s="15">
        <v>16200</v>
      </c>
      <c r="F35" s="74" t="s">
        <v>93</v>
      </c>
      <c r="G35" s="13"/>
      <c r="H35" s="13"/>
      <c r="I35" s="13"/>
      <c r="J35" s="13"/>
      <c r="K35" s="16"/>
      <c r="L35" s="15"/>
      <c r="M35" s="15">
        <v>75</v>
      </c>
      <c r="N35" s="15">
        <f t="shared" si="1"/>
        <v>16125</v>
      </c>
      <c r="O35" s="18"/>
      <c r="P35" s="77">
        <v>450</v>
      </c>
    </row>
    <row r="36" spans="1:16" ht="20.25" customHeight="1">
      <c r="A36" s="22">
        <v>30</v>
      </c>
      <c r="B36" s="14" t="s">
        <v>94</v>
      </c>
      <c r="C36" s="26">
        <v>6016200526744</v>
      </c>
      <c r="D36" s="13" t="s">
        <v>95</v>
      </c>
      <c r="E36" s="15">
        <f>G36*H36</f>
        <v>6600</v>
      </c>
      <c r="F36" s="74" t="s">
        <v>96</v>
      </c>
      <c r="G36" s="13">
        <v>330</v>
      </c>
      <c r="H36" s="13">
        <v>20</v>
      </c>
      <c r="I36" s="13"/>
      <c r="J36" s="13"/>
      <c r="K36" s="16"/>
      <c r="L36" s="15"/>
      <c r="M36" s="15">
        <f t="shared" si="0"/>
        <v>33</v>
      </c>
      <c r="N36" s="15">
        <f t="shared" si="1"/>
        <v>6567</v>
      </c>
      <c r="O36" s="33"/>
      <c r="P36" s="77">
        <f t="shared" si="2"/>
        <v>198</v>
      </c>
    </row>
    <row r="37" spans="1:16" ht="20.25" customHeight="1">
      <c r="A37" s="22">
        <v>31</v>
      </c>
      <c r="B37" s="14" t="s">
        <v>97</v>
      </c>
      <c r="C37" s="26">
        <v>6016200526680</v>
      </c>
      <c r="D37" s="13" t="s">
        <v>95</v>
      </c>
      <c r="E37" s="15">
        <f t="shared" ref="E37:E43" si="3">G37*H37</f>
        <v>7260</v>
      </c>
      <c r="F37" s="74" t="s">
        <v>96</v>
      </c>
      <c r="G37" s="13">
        <v>330</v>
      </c>
      <c r="H37" s="13">
        <v>22</v>
      </c>
      <c r="I37" s="13"/>
      <c r="J37" s="13"/>
      <c r="K37" s="16"/>
      <c r="L37" s="15"/>
      <c r="M37" s="15">
        <f t="shared" si="0"/>
        <v>36</v>
      </c>
      <c r="N37" s="15">
        <f t="shared" si="1"/>
        <v>7224</v>
      </c>
      <c r="O37" s="33"/>
      <c r="P37" s="77">
        <v>218</v>
      </c>
    </row>
    <row r="38" spans="1:16" ht="20.25" customHeight="1">
      <c r="A38" s="22">
        <v>32</v>
      </c>
      <c r="B38" s="14" t="s">
        <v>98</v>
      </c>
      <c r="C38" s="26">
        <v>6016200526639</v>
      </c>
      <c r="D38" s="13" t="s">
        <v>95</v>
      </c>
      <c r="E38" s="15">
        <f t="shared" si="3"/>
        <v>7260</v>
      </c>
      <c r="F38" s="74" t="s">
        <v>96</v>
      </c>
      <c r="G38" s="13">
        <v>330</v>
      </c>
      <c r="H38" s="13">
        <v>22</v>
      </c>
      <c r="I38" s="13"/>
      <c r="J38" s="13"/>
      <c r="K38" s="16"/>
      <c r="L38" s="15"/>
      <c r="M38" s="15">
        <f t="shared" si="0"/>
        <v>36</v>
      </c>
      <c r="N38" s="15">
        <f t="shared" si="1"/>
        <v>7224</v>
      </c>
      <c r="O38" s="15"/>
      <c r="P38" s="77">
        <v>218</v>
      </c>
    </row>
    <row r="39" spans="1:16" ht="20.25" customHeight="1">
      <c r="A39" s="22">
        <v>33</v>
      </c>
      <c r="B39" s="14" t="s">
        <v>99</v>
      </c>
      <c r="C39" s="26">
        <v>6016200526591</v>
      </c>
      <c r="D39" s="13" t="s">
        <v>95</v>
      </c>
      <c r="E39" s="15">
        <f t="shared" si="3"/>
        <v>6600</v>
      </c>
      <c r="F39" s="74" t="s">
        <v>96</v>
      </c>
      <c r="G39" s="13">
        <v>330</v>
      </c>
      <c r="H39" s="13">
        <v>20</v>
      </c>
      <c r="I39" s="13"/>
      <c r="J39" s="13"/>
      <c r="K39" s="16"/>
      <c r="L39" s="15"/>
      <c r="M39" s="15">
        <f t="shared" si="0"/>
        <v>33</v>
      </c>
      <c r="N39" s="15">
        <f t="shared" si="1"/>
        <v>6567</v>
      </c>
      <c r="O39" s="15"/>
      <c r="P39" s="77">
        <f t="shared" si="2"/>
        <v>198</v>
      </c>
    </row>
    <row r="40" spans="1:16" s="2" customFormat="1" ht="20.25" customHeight="1">
      <c r="A40" s="22">
        <v>34</v>
      </c>
      <c r="B40" s="29" t="s">
        <v>108</v>
      </c>
      <c r="C40" s="22" t="s">
        <v>109</v>
      </c>
      <c r="D40" s="22" t="s">
        <v>72</v>
      </c>
      <c r="E40" s="15">
        <f t="shared" si="3"/>
        <v>8800</v>
      </c>
      <c r="F40" s="30" t="s">
        <v>107</v>
      </c>
      <c r="G40" s="22">
        <v>400</v>
      </c>
      <c r="H40" s="22">
        <v>22</v>
      </c>
      <c r="I40" s="22"/>
      <c r="J40" s="22"/>
      <c r="K40" s="31"/>
      <c r="L40" s="23"/>
      <c r="M40" s="15">
        <f t="shared" si="0"/>
        <v>44</v>
      </c>
      <c r="N40" s="15">
        <f t="shared" si="1"/>
        <v>8756</v>
      </c>
      <c r="O40" s="15"/>
      <c r="P40" s="77">
        <f t="shared" si="2"/>
        <v>264</v>
      </c>
    </row>
    <row r="41" spans="1:16" s="2" customFormat="1" ht="20.25" customHeight="1">
      <c r="A41" s="22">
        <v>35</v>
      </c>
      <c r="B41" s="29" t="s">
        <v>110</v>
      </c>
      <c r="C41" s="32">
        <v>6016300837717</v>
      </c>
      <c r="D41" s="22" t="s">
        <v>95</v>
      </c>
      <c r="E41" s="15">
        <f t="shared" si="3"/>
        <v>6600</v>
      </c>
      <c r="F41" s="30" t="s">
        <v>111</v>
      </c>
      <c r="G41" s="22">
        <v>330</v>
      </c>
      <c r="H41" s="22">
        <v>20</v>
      </c>
      <c r="I41" s="22"/>
      <c r="J41" s="22"/>
      <c r="K41" s="31"/>
      <c r="L41" s="23"/>
      <c r="M41" s="15">
        <f t="shared" si="0"/>
        <v>33</v>
      </c>
      <c r="N41" s="15">
        <f t="shared" si="1"/>
        <v>6567</v>
      </c>
      <c r="O41" s="15"/>
      <c r="P41" s="77">
        <f t="shared" si="2"/>
        <v>198</v>
      </c>
    </row>
    <row r="42" spans="1:16" s="2" customFormat="1" ht="20.25" customHeight="1">
      <c r="A42" s="22">
        <v>36</v>
      </c>
      <c r="B42" s="29" t="s">
        <v>112</v>
      </c>
      <c r="C42" s="32">
        <v>6016300837709</v>
      </c>
      <c r="D42" s="22" t="s">
        <v>95</v>
      </c>
      <c r="E42" s="15">
        <f t="shared" si="3"/>
        <v>6930</v>
      </c>
      <c r="F42" s="30" t="s">
        <v>111</v>
      </c>
      <c r="G42" s="22">
        <v>330</v>
      </c>
      <c r="H42" s="22">
        <v>21</v>
      </c>
      <c r="I42" s="22"/>
      <c r="J42" s="22"/>
      <c r="K42" s="31"/>
      <c r="L42" s="23"/>
      <c r="M42" s="15">
        <f t="shared" si="0"/>
        <v>35</v>
      </c>
      <c r="N42" s="15">
        <f t="shared" si="1"/>
        <v>6895</v>
      </c>
      <c r="O42" s="15"/>
      <c r="P42" s="77">
        <v>208</v>
      </c>
    </row>
    <row r="43" spans="1:16" s="2" customFormat="1" ht="20.25" customHeight="1">
      <c r="A43" s="22">
        <v>37</v>
      </c>
      <c r="B43" s="29" t="s">
        <v>113</v>
      </c>
      <c r="C43" s="32">
        <v>6016300837750</v>
      </c>
      <c r="D43" s="22" t="s">
        <v>95</v>
      </c>
      <c r="E43" s="15">
        <f t="shared" si="3"/>
        <v>7260</v>
      </c>
      <c r="F43" s="30" t="s">
        <v>111</v>
      </c>
      <c r="G43" s="22">
        <v>330</v>
      </c>
      <c r="H43" s="22">
        <v>22</v>
      </c>
      <c r="I43" s="22"/>
      <c r="J43" s="22"/>
      <c r="K43" s="31"/>
      <c r="L43" s="23"/>
      <c r="M43" s="15">
        <f t="shared" si="0"/>
        <v>36</v>
      </c>
      <c r="N43" s="15">
        <f t="shared" si="1"/>
        <v>7224</v>
      </c>
      <c r="O43" s="22"/>
      <c r="P43" s="77">
        <v>218</v>
      </c>
    </row>
    <row r="44" spans="1:16" ht="20.25" customHeight="1">
      <c r="A44" s="22">
        <v>38</v>
      </c>
      <c r="B44" s="14" t="s">
        <v>100</v>
      </c>
      <c r="C44" s="26">
        <v>1101500149087</v>
      </c>
      <c r="D44" s="13" t="s">
        <v>44</v>
      </c>
      <c r="E44" s="15">
        <v>25000</v>
      </c>
      <c r="F44" s="27" t="s">
        <v>101</v>
      </c>
      <c r="G44" s="13"/>
      <c r="H44" s="13"/>
      <c r="I44" s="13"/>
      <c r="J44" s="13"/>
      <c r="K44" s="16"/>
      <c r="L44" s="15"/>
      <c r="M44" s="15">
        <v>75</v>
      </c>
      <c r="N44" s="15">
        <f t="shared" si="1"/>
        <v>24925</v>
      </c>
      <c r="O44" s="18"/>
      <c r="P44" s="77">
        <v>450</v>
      </c>
    </row>
    <row r="45" spans="1:16" ht="20.25" customHeight="1">
      <c r="A45" s="22">
        <v>39</v>
      </c>
      <c r="B45" s="14" t="s">
        <v>102</v>
      </c>
      <c r="C45" s="26">
        <v>220062001228</v>
      </c>
      <c r="D45" s="13" t="s">
        <v>95</v>
      </c>
      <c r="E45" s="15">
        <f>+G45*H45</f>
        <v>6930</v>
      </c>
      <c r="F45" s="27" t="s">
        <v>106</v>
      </c>
      <c r="G45" s="13">
        <v>330</v>
      </c>
      <c r="H45" s="13">
        <v>21</v>
      </c>
      <c r="I45" s="13"/>
      <c r="J45" s="13"/>
      <c r="K45" s="16"/>
      <c r="L45" s="15"/>
      <c r="M45" s="15">
        <f t="shared" si="0"/>
        <v>35</v>
      </c>
      <c r="N45" s="15">
        <f t="shared" si="1"/>
        <v>6895</v>
      </c>
      <c r="O45" s="18"/>
      <c r="P45" s="77">
        <v>208</v>
      </c>
    </row>
    <row r="46" spans="1:16" s="8" customFormat="1" ht="20.25" customHeight="1">
      <c r="A46" s="22">
        <v>40</v>
      </c>
      <c r="B46" s="21" t="s">
        <v>114</v>
      </c>
      <c r="C46" s="32">
        <v>1419900221235</v>
      </c>
      <c r="D46" s="22" t="s">
        <v>32</v>
      </c>
      <c r="E46" s="23">
        <v>12000</v>
      </c>
      <c r="F46" s="30" t="s">
        <v>115</v>
      </c>
      <c r="G46" s="18"/>
      <c r="H46" s="18"/>
      <c r="I46" s="18"/>
      <c r="J46" s="18"/>
      <c r="K46" s="35"/>
      <c r="L46" s="33"/>
      <c r="M46" s="15">
        <f t="shared" si="0"/>
        <v>60</v>
      </c>
      <c r="N46" s="15">
        <f t="shared" si="1"/>
        <v>11940</v>
      </c>
      <c r="O46" s="18"/>
      <c r="P46" s="77">
        <f t="shared" si="2"/>
        <v>360</v>
      </c>
    </row>
    <row r="47" spans="1:16" s="2" customFormat="1" ht="20.25" customHeight="1">
      <c r="A47" s="22">
        <v>41</v>
      </c>
      <c r="B47" s="21" t="s">
        <v>118</v>
      </c>
      <c r="C47" s="32">
        <v>1229900643638</v>
      </c>
      <c r="D47" s="22" t="s">
        <v>44</v>
      </c>
      <c r="E47" s="23">
        <v>15000</v>
      </c>
      <c r="F47" s="30" t="s">
        <v>119</v>
      </c>
      <c r="G47" s="22"/>
      <c r="H47" s="22"/>
      <c r="I47" s="22"/>
      <c r="J47" s="22"/>
      <c r="K47" s="31"/>
      <c r="L47" s="23"/>
      <c r="M47" s="23">
        <f t="shared" si="0"/>
        <v>75</v>
      </c>
      <c r="N47" s="23">
        <f t="shared" si="1"/>
        <v>14925</v>
      </c>
      <c r="O47" s="22"/>
      <c r="P47" s="77">
        <f t="shared" si="2"/>
        <v>450</v>
      </c>
    </row>
    <row r="48" spans="1:16" s="2" customFormat="1" ht="20.25" customHeight="1">
      <c r="A48" s="22">
        <v>42</v>
      </c>
      <c r="B48" s="21" t="s">
        <v>120</v>
      </c>
      <c r="C48" s="32">
        <v>3402000037896</v>
      </c>
      <c r="D48" s="22" t="s">
        <v>44</v>
      </c>
      <c r="E48" s="23">
        <v>15000</v>
      </c>
      <c r="F48" s="30" t="s">
        <v>119</v>
      </c>
      <c r="G48" s="22"/>
      <c r="H48" s="22"/>
      <c r="I48" s="22"/>
      <c r="J48" s="22"/>
      <c r="K48" s="31"/>
      <c r="L48" s="23"/>
      <c r="M48" s="23">
        <f t="shared" si="0"/>
        <v>75</v>
      </c>
      <c r="N48" s="23">
        <f t="shared" si="1"/>
        <v>14925</v>
      </c>
      <c r="O48" s="22"/>
      <c r="P48" s="77">
        <f t="shared" si="2"/>
        <v>450</v>
      </c>
    </row>
    <row r="49" spans="1:16" s="2" customFormat="1" ht="20.25" customHeight="1">
      <c r="A49" s="22">
        <v>43</v>
      </c>
      <c r="B49" s="21" t="s">
        <v>121</v>
      </c>
      <c r="C49" s="32">
        <v>3341600658671</v>
      </c>
      <c r="D49" s="22" t="s">
        <v>44</v>
      </c>
      <c r="E49" s="23">
        <v>15000</v>
      </c>
      <c r="F49" s="30" t="s">
        <v>119</v>
      </c>
      <c r="G49" s="22"/>
      <c r="H49" s="22"/>
      <c r="I49" s="22"/>
      <c r="J49" s="22"/>
      <c r="K49" s="31"/>
      <c r="L49" s="23"/>
      <c r="M49" s="23">
        <f t="shared" si="0"/>
        <v>75</v>
      </c>
      <c r="N49" s="23">
        <f t="shared" si="1"/>
        <v>14925</v>
      </c>
      <c r="O49" s="22"/>
      <c r="P49" s="77">
        <f t="shared" si="2"/>
        <v>450</v>
      </c>
    </row>
    <row r="50" spans="1:16" s="2" customFormat="1" ht="20.25" customHeight="1">
      <c r="A50" s="22">
        <v>44</v>
      </c>
      <c r="B50" s="21" t="s">
        <v>122</v>
      </c>
      <c r="C50" s="32">
        <v>3930100204585</v>
      </c>
      <c r="D50" s="22" t="s">
        <v>19</v>
      </c>
      <c r="E50" s="23">
        <v>15000</v>
      </c>
      <c r="F50" s="30" t="s">
        <v>119</v>
      </c>
      <c r="G50" s="22"/>
      <c r="H50" s="22"/>
      <c r="I50" s="22"/>
      <c r="J50" s="22"/>
      <c r="K50" s="31"/>
      <c r="L50" s="23"/>
      <c r="M50" s="23">
        <f t="shared" si="0"/>
        <v>75</v>
      </c>
      <c r="N50" s="23">
        <f t="shared" si="1"/>
        <v>14925</v>
      </c>
      <c r="O50" s="22"/>
      <c r="P50" s="77">
        <f t="shared" si="2"/>
        <v>450</v>
      </c>
    </row>
    <row r="51" spans="1:16" s="2" customFormat="1" ht="20.25" customHeight="1">
      <c r="A51" s="22">
        <v>45</v>
      </c>
      <c r="B51" s="21" t="s">
        <v>123</v>
      </c>
      <c r="C51" s="32">
        <v>1229900813291</v>
      </c>
      <c r="D51" s="22" t="s">
        <v>72</v>
      </c>
      <c r="E51" s="23">
        <f>G51*H51</f>
        <v>4550</v>
      </c>
      <c r="F51" s="30" t="s">
        <v>119</v>
      </c>
      <c r="G51" s="22">
        <v>350</v>
      </c>
      <c r="H51" s="22">
        <v>13</v>
      </c>
      <c r="I51" s="22"/>
      <c r="J51" s="22"/>
      <c r="K51" s="31"/>
      <c r="L51" s="23"/>
      <c r="M51" s="23">
        <f>ROUND(E51*0.5%,0)</f>
        <v>23</v>
      </c>
      <c r="N51" s="23">
        <f>SUM(E51-M51)</f>
        <v>4527</v>
      </c>
      <c r="O51" s="22"/>
      <c r="P51" s="77">
        <v>137</v>
      </c>
    </row>
    <row r="52" spans="1:16" s="8" customFormat="1" ht="20.25" customHeight="1">
      <c r="A52" s="78">
        <v>46</v>
      </c>
      <c r="B52" s="79" t="s">
        <v>138</v>
      </c>
      <c r="C52" s="80">
        <v>1461000135963</v>
      </c>
      <c r="D52" s="78" t="s">
        <v>95</v>
      </c>
      <c r="E52" s="81">
        <f>G52*H52</f>
        <v>7000</v>
      </c>
      <c r="F52" s="82" t="s">
        <v>139</v>
      </c>
      <c r="G52" s="78">
        <v>350</v>
      </c>
      <c r="H52" s="78">
        <v>20</v>
      </c>
      <c r="I52" s="78"/>
      <c r="J52" s="78"/>
      <c r="K52" s="83"/>
      <c r="L52" s="81"/>
      <c r="M52" s="81">
        <f>ROUND(E52*0.5%,0)</f>
        <v>35</v>
      </c>
      <c r="N52" s="81">
        <f>SUM(E52-M52)</f>
        <v>6965</v>
      </c>
      <c r="O52" s="84"/>
      <c r="P52" s="85">
        <f t="shared" si="2"/>
        <v>210</v>
      </c>
    </row>
    <row r="53" spans="1:16" s="86" customFormat="1" ht="25.5" customHeight="1" thickBot="1">
      <c r="A53" s="402" t="s">
        <v>103</v>
      </c>
      <c r="B53" s="402"/>
      <c r="C53" s="402"/>
      <c r="D53" s="402"/>
      <c r="E53" s="89">
        <f>SUM(E7:E52)</f>
        <v>722480</v>
      </c>
      <c r="F53" s="87"/>
      <c r="G53" s="87"/>
      <c r="H53" s="87"/>
      <c r="I53" s="87"/>
      <c r="J53" s="87"/>
      <c r="K53" s="87"/>
      <c r="L53" s="87"/>
      <c r="M53" s="89">
        <f>SUM(M7:M52)</f>
        <v>2818</v>
      </c>
      <c r="N53" s="75">
        <f>SUM(N7:N52)</f>
        <v>719662</v>
      </c>
      <c r="O53" s="88"/>
      <c r="P53" s="90">
        <f>SUM(P7:P52)</f>
        <v>16906</v>
      </c>
    </row>
    <row r="54" spans="1:16" ht="20.25" customHeight="1" thickTop="1">
      <c r="A54" s="49"/>
      <c r="B54" s="3"/>
      <c r="C54" s="3"/>
      <c r="D54" s="3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5"/>
    </row>
    <row r="55" spans="1:16" ht="20.25" customHeight="1" thickBot="1">
      <c r="A55" s="49"/>
      <c r="B55" s="50" t="s">
        <v>12</v>
      </c>
      <c r="C55" s="3"/>
      <c r="D55" s="3"/>
      <c r="E55" s="39"/>
      <c r="F55" s="51" t="s">
        <v>145</v>
      </c>
      <c r="G55" s="39"/>
      <c r="H55" s="39"/>
      <c r="I55" s="39"/>
      <c r="J55" s="39"/>
      <c r="K55" s="39"/>
      <c r="L55" s="39"/>
      <c r="M55" s="39"/>
      <c r="N55" s="39"/>
      <c r="O55" s="5"/>
    </row>
    <row r="56" spans="1:16" ht="20.25" customHeight="1">
      <c r="A56" s="49"/>
      <c r="B56" s="52" t="s">
        <v>104</v>
      </c>
      <c r="C56" s="53" t="s">
        <v>81</v>
      </c>
      <c r="D56" s="54">
        <v>242554</v>
      </c>
      <c r="E56" s="55" t="s">
        <v>146</v>
      </c>
      <c r="F56" s="62" t="s">
        <v>141</v>
      </c>
      <c r="G56" s="63">
        <v>14</v>
      </c>
      <c r="H56" s="63" t="s">
        <v>142</v>
      </c>
      <c r="I56" s="403" t="s">
        <v>143</v>
      </c>
      <c r="J56" s="403"/>
      <c r="K56" s="63">
        <v>1</v>
      </c>
      <c r="L56" s="64" t="s">
        <v>142</v>
      </c>
      <c r="M56" s="45"/>
      <c r="N56" s="3"/>
      <c r="O56" s="5"/>
    </row>
    <row r="57" spans="1:16" ht="20.25" customHeight="1">
      <c r="A57" s="49"/>
      <c r="B57" s="56"/>
      <c r="C57" s="46" t="s">
        <v>28</v>
      </c>
      <c r="D57" s="47">
        <v>242564</v>
      </c>
      <c r="E57" s="57" t="s">
        <v>146</v>
      </c>
      <c r="F57" s="65" t="s">
        <v>144</v>
      </c>
      <c r="G57" s="66">
        <v>32</v>
      </c>
      <c r="H57" s="66" t="s">
        <v>142</v>
      </c>
      <c r="I57" s="404" t="s">
        <v>105</v>
      </c>
      <c r="J57" s="404"/>
      <c r="K57" s="66">
        <v>2</v>
      </c>
      <c r="L57" s="67" t="s">
        <v>142</v>
      </c>
      <c r="M57" s="3"/>
      <c r="N57" s="3"/>
      <c r="O57" s="5"/>
    </row>
    <row r="58" spans="1:16" ht="21.75" customHeight="1" thickBot="1">
      <c r="A58" s="49"/>
      <c r="B58" s="58" t="s">
        <v>137</v>
      </c>
      <c r="C58" s="59" t="s">
        <v>138</v>
      </c>
      <c r="D58" s="60">
        <v>242554</v>
      </c>
      <c r="E58" s="61" t="s">
        <v>140</v>
      </c>
      <c r="F58" s="68" t="s">
        <v>147</v>
      </c>
      <c r="G58" s="69">
        <f>SUM(G56:G57)</f>
        <v>46</v>
      </c>
      <c r="H58" s="70" t="s">
        <v>142</v>
      </c>
      <c r="I58" s="71"/>
      <c r="J58" s="71"/>
      <c r="K58" s="71"/>
      <c r="L58" s="72"/>
    </row>
  </sheetData>
  <mergeCells count="18">
    <mergeCell ref="P5:P6"/>
    <mergeCell ref="A1:O1"/>
    <mergeCell ref="A2:O2"/>
    <mergeCell ref="A3:O3"/>
    <mergeCell ref="A5:A6"/>
    <mergeCell ref="B5:B6"/>
    <mergeCell ref="C5:C6"/>
    <mergeCell ref="D5:D6"/>
    <mergeCell ref="E5:E6"/>
    <mergeCell ref="F5:F6"/>
    <mergeCell ref="G5:H5"/>
    <mergeCell ref="I5:J5"/>
    <mergeCell ref="K5:M5"/>
    <mergeCell ref="N5:N6"/>
    <mergeCell ref="O5:O6"/>
    <mergeCell ref="A53:D53"/>
    <mergeCell ref="I56:J56"/>
    <mergeCell ref="I57:J57"/>
  </mergeCells>
  <phoneticPr fontId="12" type="noConversion"/>
  <printOptions horizontalCentered="1"/>
  <pageMargins left="0.23622047244094491" right="0.23622047244094491" top="0.74803149606299213" bottom="0.13" header="0.31496062992125984" footer="0.31496062992125984"/>
  <pageSetup paperSize="9" scale="66" orientation="landscape" horizontalDpi="4294967293" r:id="rId1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8C34-7A7B-4B2B-AA53-F71DEE9E1F08}">
  <dimension ref="A1:Q63"/>
  <sheetViews>
    <sheetView view="pageBreakPreview" zoomScale="110" zoomScaleNormal="100" zoomScaleSheetLayoutView="110" workbookViewId="0">
      <pane xSplit="6" ySplit="6" topLeftCell="G13" activePane="bottomRight" state="frozen"/>
      <selection pane="topRight" activeCell="G1" sqref="G1"/>
      <selection pane="bottomLeft" activeCell="A7" sqref="A7"/>
      <selection pane="bottomRight" activeCell="D60" sqref="D60"/>
    </sheetView>
  </sheetViews>
  <sheetFormatPr defaultColWidth="9" defaultRowHeight="21.75"/>
  <cols>
    <col min="1" max="1" width="9" style="1"/>
    <col min="2" max="3" width="22.7109375" style="1" customWidth="1"/>
    <col min="4" max="5" width="17.5703125" style="1" customWidth="1"/>
    <col min="6" max="6" width="17" style="1" customWidth="1"/>
    <col min="7" max="7" width="14.7109375" style="1" hidden="1" customWidth="1"/>
    <col min="8" max="8" width="5" style="1" hidden="1" customWidth="1"/>
    <col min="9" max="9" width="7.5703125" style="1" hidden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5.42578125" style="1" hidden="1" customWidth="1"/>
    <col min="14" max="14" width="15.85546875" style="1" bestFit="1" customWidth="1"/>
    <col min="15" max="15" width="14" style="1" customWidth="1"/>
    <col min="16" max="16" width="24.5703125" style="1" bestFit="1" customWidth="1"/>
    <col min="17" max="17" width="15.28515625" style="76" bestFit="1" customWidth="1"/>
    <col min="18" max="16384" width="9" style="1"/>
  </cols>
  <sheetData>
    <row r="1" spans="1:17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</row>
    <row r="2" spans="1:17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</row>
    <row r="3" spans="1:17" ht="20.25" customHeight="1">
      <c r="A3" s="381" t="s">
        <v>135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</row>
    <row r="4" spans="1:17" ht="20.25" customHeight="1">
      <c r="A4" s="9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ht="20.25" customHeight="1">
      <c r="A5" s="382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8" t="s">
        <v>9</v>
      </c>
      <c r="K5" s="399"/>
      <c r="L5" s="394" t="s">
        <v>10</v>
      </c>
      <c r="M5" s="394"/>
      <c r="N5" s="394"/>
      <c r="O5" s="395" t="s">
        <v>11</v>
      </c>
      <c r="P5" s="390" t="s">
        <v>12</v>
      </c>
      <c r="Q5" s="384" t="s">
        <v>149</v>
      </c>
    </row>
    <row r="6" spans="1:17" ht="20.25" customHeight="1">
      <c r="A6" s="383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205" t="s">
        <v>15</v>
      </c>
      <c r="K6" s="205" t="s">
        <v>16</v>
      </c>
      <c r="L6" s="42" t="s">
        <v>17</v>
      </c>
      <c r="M6" s="42" t="s">
        <v>18</v>
      </c>
      <c r="N6" s="43" t="s">
        <v>136</v>
      </c>
      <c r="O6" s="396"/>
      <c r="P6" s="390"/>
      <c r="Q6" s="385"/>
    </row>
    <row r="7" spans="1:17" s="200" customFormat="1" ht="20.25" customHeight="1">
      <c r="A7" s="199">
        <v>1</v>
      </c>
      <c r="B7" s="196" t="s">
        <v>20</v>
      </c>
      <c r="C7" s="199" t="s">
        <v>21</v>
      </c>
      <c r="D7" s="199" t="s">
        <v>22</v>
      </c>
      <c r="E7" s="199" t="s">
        <v>168</v>
      </c>
      <c r="F7" s="198">
        <v>14600</v>
      </c>
      <c r="G7" s="13"/>
      <c r="H7" s="13"/>
      <c r="I7" s="13"/>
      <c r="J7" s="13"/>
      <c r="K7" s="13"/>
      <c r="L7" s="16"/>
      <c r="M7" s="15"/>
      <c r="N7" s="198">
        <f>ROUND(F7*0.5%,0)</f>
        <v>73</v>
      </c>
      <c r="O7" s="198">
        <f>SUM(F7-N7)</f>
        <v>14527</v>
      </c>
      <c r="P7" s="199"/>
      <c r="Q7" s="198">
        <f>+F7*3/100</f>
        <v>438</v>
      </c>
    </row>
    <row r="8" spans="1:17" s="194" customFormat="1" ht="20.25" customHeight="1">
      <c r="A8" s="191">
        <v>2</v>
      </c>
      <c r="B8" s="192" t="s">
        <v>23</v>
      </c>
      <c r="C8" s="191" t="s">
        <v>24</v>
      </c>
      <c r="D8" s="191" t="s">
        <v>19</v>
      </c>
      <c r="E8" s="191" t="s">
        <v>169</v>
      </c>
      <c r="F8" s="193">
        <v>13500</v>
      </c>
      <c r="G8" s="13"/>
      <c r="H8" s="13"/>
      <c r="I8" s="13"/>
      <c r="J8" s="13"/>
      <c r="K8" s="13"/>
      <c r="L8" s="16"/>
      <c r="M8" s="15"/>
      <c r="N8" s="193">
        <f t="shared" ref="N8:N50" si="0">ROUND(F8*0.5%,0)</f>
        <v>68</v>
      </c>
      <c r="O8" s="193">
        <f t="shared" ref="O8:O50" si="1">SUM(F8-N8)</f>
        <v>13432</v>
      </c>
      <c r="P8" s="191"/>
      <c r="Q8" s="232">
        <f t="shared" ref="Q8:Q52" si="2">+F8*3/100</f>
        <v>405</v>
      </c>
    </row>
    <row r="9" spans="1:17" s="194" customFormat="1" ht="20.25" customHeight="1">
      <c r="A9" s="191">
        <v>3</v>
      </c>
      <c r="B9" s="192" t="s">
        <v>25</v>
      </c>
      <c r="C9" s="191" t="s">
        <v>26</v>
      </c>
      <c r="D9" s="191" t="s">
        <v>27</v>
      </c>
      <c r="E9" s="191" t="s">
        <v>169</v>
      </c>
      <c r="F9" s="193">
        <v>13400</v>
      </c>
      <c r="G9" s="13"/>
      <c r="H9" s="13"/>
      <c r="I9" s="13"/>
      <c r="J9" s="13"/>
      <c r="K9" s="13"/>
      <c r="L9" s="16"/>
      <c r="M9" s="15"/>
      <c r="N9" s="193">
        <f t="shared" si="0"/>
        <v>67</v>
      </c>
      <c r="O9" s="193">
        <f t="shared" si="1"/>
        <v>13333</v>
      </c>
      <c r="P9" s="191"/>
      <c r="Q9" s="232">
        <f t="shared" si="2"/>
        <v>402</v>
      </c>
    </row>
    <row r="10" spans="1:17" s="200" customFormat="1" ht="20.25" customHeight="1">
      <c r="A10" s="199">
        <v>4</v>
      </c>
      <c r="B10" s="196" t="s">
        <v>28</v>
      </c>
      <c r="C10" s="199" t="s">
        <v>29</v>
      </c>
      <c r="D10" s="199" t="s">
        <v>22</v>
      </c>
      <c r="E10" s="199" t="s">
        <v>168</v>
      </c>
      <c r="F10" s="198">
        <f>H10*I10</f>
        <v>4870</v>
      </c>
      <c r="G10" s="13"/>
      <c r="H10" s="13">
        <v>487</v>
      </c>
      <c r="I10" s="13">
        <v>10</v>
      </c>
      <c r="J10" s="13"/>
      <c r="K10" s="13"/>
      <c r="L10" s="16"/>
      <c r="M10" s="15"/>
      <c r="N10" s="198">
        <f t="shared" si="0"/>
        <v>24</v>
      </c>
      <c r="O10" s="198">
        <f t="shared" si="1"/>
        <v>4846</v>
      </c>
      <c r="P10" s="199" t="s">
        <v>148</v>
      </c>
      <c r="Q10" s="226">
        <v>146</v>
      </c>
    </row>
    <row r="11" spans="1:17" s="194" customFormat="1" ht="20.25" customHeight="1">
      <c r="A11" s="191">
        <v>5</v>
      </c>
      <c r="B11" s="192" t="s">
        <v>30</v>
      </c>
      <c r="C11" s="191" t="s">
        <v>31</v>
      </c>
      <c r="D11" s="191" t="s">
        <v>32</v>
      </c>
      <c r="E11" s="191" t="s">
        <v>169</v>
      </c>
      <c r="F11" s="193">
        <v>16500</v>
      </c>
      <c r="G11" s="13"/>
      <c r="H11" s="13"/>
      <c r="I11" s="13"/>
      <c r="J11" s="13"/>
      <c r="K11" s="13"/>
      <c r="L11" s="16"/>
      <c r="M11" s="15"/>
      <c r="N11" s="193">
        <v>75</v>
      </c>
      <c r="O11" s="193">
        <f t="shared" si="1"/>
        <v>16425</v>
      </c>
      <c r="P11" s="191"/>
      <c r="Q11" s="232">
        <v>450</v>
      </c>
    </row>
    <row r="12" spans="1:17" s="194" customFormat="1" ht="20.25" customHeight="1">
      <c r="A12" s="191">
        <v>6</v>
      </c>
      <c r="B12" s="192" t="s">
        <v>33</v>
      </c>
      <c r="C12" s="191" t="s">
        <v>34</v>
      </c>
      <c r="D12" s="191" t="s">
        <v>32</v>
      </c>
      <c r="E12" s="191" t="s">
        <v>169</v>
      </c>
      <c r="F12" s="193">
        <v>17300</v>
      </c>
      <c r="G12" s="13"/>
      <c r="H12" s="13"/>
      <c r="I12" s="13"/>
      <c r="J12" s="13"/>
      <c r="K12" s="13"/>
      <c r="L12" s="16"/>
      <c r="M12" s="15"/>
      <c r="N12" s="193">
        <v>75</v>
      </c>
      <c r="O12" s="193">
        <f t="shared" si="1"/>
        <v>17225</v>
      </c>
      <c r="P12" s="191"/>
      <c r="Q12" s="232">
        <v>450</v>
      </c>
    </row>
    <row r="13" spans="1:17" s="200" customFormat="1" ht="20.25" customHeight="1">
      <c r="A13" s="199">
        <v>7</v>
      </c>
      <c r="B13" s="196" t="s">
        <v>35</v>
      </c>
      <c r="C13" s="199" t="s">
        <v>36</v>
      </c>
      <c r="D13" s="199" t="s">
        <v>37</v>
      </c>
      <c r="E13" s="199" t="s">
        <v>168</v>
      </c>
      <c r="F13" s="198">
        <v>19000</v>
      </c>
      <c r="G13" s="13"/>
      <c r="H13" s="13"/>
      <c r="I13" s="13"/>
      <c r="J13" s="13"/>
      <c r="K13" s="13"/>
      <c r="L13" s="16"/>
      <c r="M13" s="15"/>
      <c r="N13" s="198">
        <v>75</v>
      </c>
      <c r="O13" s="198">
        <f t="shared" si="1"/>
        <v>18925</v>
      </c>
      <c r="P13" s="199"/>
      <c r="Q13" s="226">
        <v>450</v>
      </c>
    </row>
    <row r="14" spans="1:17" s="194" customFormat="1" ht="20.25" customHeight="1">
      <c r="A14" s="191">
        <v>8</v>
      </c>
      <c r="B14" s="192" t="s">
        <v>38</v>
      </c>
      <c r="C14" s="191" t="s">
        <v>39</v>
      </c>
      <c r="D14" s="191" t="s">
        <v>32</v>
      </c>
      <c r="E14" s="191" t="s">
        <v>169</v>
      </c>
      <c r="F14" s="193">
        <v>25000</v>
      </c>
      <c r="G14" s="13"/>
      <c r="H14" s="13"/>
      <c r="I14" s="13"/>
      <c r="J14" s="13"/>
      <c r="K14" s="13"/>
      <c r="L14" s="16"/>
      <c r="M14" s="15"/>
      <c r="N14" s="193">
        <v>75</v>
      </c>
      <c r="O14" s="193">
        <f t="shared" si="1"/>
        <v>24925</v>
      </c>
      <c r="P14" s="191"/>
      <c r="Q14" s="232">
        <v>450</v>
      </c>
    </row>
    <row r="15" spans="1:17" s="194" customFormat="1" ht="20.25" customHeight="1">
      <c r="A15" s="191">
        <v>9</v>
      </c>
      <c r="B15" s="192" t="s">
        <v>40</v>
      </c>
      <c r="C15" s="191" t="s">
        <v>41</v>
      </c>
      <c r="D15" s="191" t="s">
        <v>32</v>
      </c>
      <c r="E15" s="191" t="s">
        <v>169</v>
      </c>
      <c r="F15" s="193">
        <v>20500</v>
      </c>
      <c r="G15" s="13"/>
      <c r="H15" s="13"/>
      <c r="I15" s="13"/>
      <c r="J15" s="13"/>
      <c r="K15" s="13"/>
      <c r="L15" s="16"/>
      <c r="M15" s="15"/>
      <c r="N15" s="193">
        <v>75</v>
      </c>
      <c r="O15" s="193">
        <f t="shared" si="1"/>
        <v>20425</v>
      </c>
      <c r="P15" s="191"/>
      <c r="Q15" s="232">
        <v>450</v>
      </c>
    </row>
    <row r="16" spans="1:17" s="200" customFormat="1" ht="20.25" customHeight="1">
      <c r="A16" s="199">
        <v>10</v>
      </c>
      <c r="B16" s="196" t="s">
        <v>42</v>
      </c>
      <c r="C16" s="199" t="s">
        <v>43</v>
      </c>
      <c r="D16" s="199" t="s">
        <v>44</v>
      </c>
      <c r="E16" s="199" t="s">
        <v>168</v>
      </c>
      <c r="F16" s="198">
        <v>25000</v>
      </c>
      <c r="G16" s="13"/>
      <c r="H16" s="13"/>
      <c r="I16" s="13"/>
      <c r="J16" s="13"/>
      <c r="K16" s="13"/>
      <c r="L16" s="16"/>
      <c r="M16" s="15"/>
      <c r="N16" s="198">
        <v>75</v>
      </c>
      <c r="O16" s="198">
        <f t="shared" si="1"/>
        <v>24925</v>
      </c>
      <c r="P16" s="199"/>
      <c r="Q16" s="226">
        <v>450</v>
      </c>
    </row>
    <row r="17" spans="1:17" s="200" customFormat="1" ht="20.25" customHeight="1">
      <c r="A17" s="199">
        <v>11</v>
      </c>
      <c r="B17" s="196" t="s">
        <v>45</v>
      </c>
      <c r="C17" s="199" t="s">
        <v>46</v>
      </c>
      <c r="D17" s="199" t="s">
        <v>44</v>
      </c>
      <c r="E17" s="199" t="s">
        <v>168</v>
      </c>
      <c r="F17" s="198">
        <v>19700</v>
      </c>
      <c r="G17" s="13"/>
      <c r="H17" s="13"/>
      <c r="I17" s="13"/>
      <c r="J17" s="13"/>
      <c r="K17" s="13"/>
      <c r="L17" s="16"/>
      <c r="M17" s="15"/>
      <c r="N17" s="198">
        <v>75</v>
      </c>
      <c r="O17" s="198">
        <f t="shared" si="1"/>
        <v>19625</v>
      </c>
      <c r="P17" s="199"/>
      <c r="Q17" s="226">
        <v>450</v>
      </c>
    </row>
    <row r="18" spans="1:17" s="200" customFormat="1" ht="20.25" customHeight="1">
      <c r="A18" s="199">
        <v>12</v>
      </c>
      <c r="B18" s="196" t="s">
        <v>47</v>
      </c>
      <c r="C18" s="199" t="s">
        <v>48</v>
      </c>
      <c r="D18" s="199" t="s">
        <v>44</v>
      </c>
      <c r="E18" s="199" t="s">
        <v>168</v>
      </c>
      <c r="F18" s="198">
        <v>17600</v>
      </c>
      <c r="G18" s="13"/>
      <c r="H18" s="13"/>
      <c r="I18" s="13"/>
      <c r="J18" s="13"/>
      <c r="K18" s="13"/>
      <c r="L18" s="16"/>
      <c r="M18" s="15"/>
      <c r="N18" s="198">
        <v>75</v>
      </c>
      <c r="O18" s="198">
        <f t="shared" si="1"/>
        <v>17525</v>
      </c>
      <c r="P18" s="199"/>
      <c r="Q18" s="226">
        <v>450</v>
      </c>
    </row>
    <row r="19" spans="1:17" s="200" customFormat="1" ht="20.25" customHeight="1">
      <c r="A19" s="199">
        <v>13</v>
      </c>
      <c r="B19" s="196" t="s">
        <v>49</v>
      </c>
      <c r="C19" s="199" t="s">
        <v>50</v>
      </c>
      <c r="D19" s="199" t="s">
        <v>37</v>
      </c>
      <c r="E19" s="199" t="s">
        <v>168</v>
      </c>
      <c r="F19" s="198">
        <v>25000</v>
      </c>
      <c r="G19" s="13"/>
      <c r="H19" s="13"/>
      <c r="I19" s="13"/>
      <c r="J19" s="13"/>
      <c r="K19" s="13"/>
      <c r="L19" s="16"/>
      <c r="M19" s="15"/>
      <c r="N19" s="198">
        <v>75</v>
      </c>
      <c r="O19" s="198">
        <f t="shared" si="1"/>
        <v>24925</v>
      </c>
      <c r="P19" s="199"/>
      <c r="Q19" s="226">
        <v>450</v>
      </c>
    </row>
    <row r="20" spans="1:17" s="200" customFormat="1" ht="20.25" customHeight="1">
      <c r="A20" s="199">
        <v>14</v>
      </c>
      <c r="B20" s="196" t="s">
        <v>51</v>
      </c>
      <c r="C20" s="199" t="s">
        <v>52</v>
      </c>
      <c r="D20" s="199" t="s">
        <v>44</v>
      </c>
      <c r="E20" s="199" t="s">
        <v>168</v>
      </c>
      <c r="F20" s="198">
        <v>22700</v>
      </c>
      <c r="G20" s="13"/>
      <c r="H20" s="13"/>
      <c r="I20" s="13"/>
      <c r="J20" s="13"/>
      <c r="K20" s="13"/>
      <c r="L20" s="16"/>
      <c r="M20" s="15"/>
      <c r="N20" s="198">
        <v>75</v>
      </c>
      <c r="O20" s="198">
        <f t="shared" si="1"/>
        <v>22625</v>
      </c>
      <c r="P20" s="199"/>
      <c r="Q20" s="226">
        <v>450</v>
      </c>
    </row>
    <row r="21" spans="1:17" s="194" customFormat="1" ht="20.25" customHeight="1">
      <c r="A21" s="191">
        <v>15</v>
      </c>
      <c r="B21" s="192" t="s">
        <v>53</v>
      </c>
      <c r="C21" s="191" t="s">
        <v>54</v>
      </c>
      <c r="D21" s="191" t="s">
        <v>55</v>
      </c>
      <c r="E21" s="191" t="s">
        <v>169</v>
      </c>
      <c r="F21" s="193">
        <v>23500</v>
      </c>
      <c r="G21" s="13"/>
      <c r="H21" s="13"/>
      <c r="I21" s="13"/>
      <c r="J21" s="13"/>
      <c r="K21" s="13"/>
      <c r="L21" s="16"/>
      <c r="M21" s="15"/>
      <c r="N21" s="193">
        <v>75</v>
      </c>
      <c r="O21" s="193">
        <f t="shared" si="1"/>
        <v>23425</v>
      </c>
      <c r="P21" s="191"/>
      <c r="Q21" s="232">
        <v>450</v>
      </c>
    </row>
    <row r="22" spans="1:17" s="194" customFormat="1" ht="20.25" customHeight="1">
      <c r="A22" s="191">
        <v>16</v>
      </c>
      <c r="B22" s="192" t="s">
        <v>56</v>
      </c>
      <c r="C22" s="191" t="s">
        <v>57</v>
      </c>
      <c r="D22" s="191" t="s">
        <v>58</v>
      </c>
      <c r="E22" s="191" t="s">
        <v>169</v>
      </c>
      <c r="F22" s="193">
        <v>25000</v>
      </c>
      <c r="G22" s="13"/>
      <c r="H22" s="13"/>
      <c r="I22" s="13"/>
      <c r="J22" s="13"/>
      <c r="K22" s="13"/>
      <c r="L22" s="16"/>
      <c r="M22" s="15"/>
      <c r="N22" s="193">
        <v>75</v>
      </c>
      <c r="O22" s="193">
        <f t="shared" si="1"/>
        <v>24925</v>
      </c>
      <c r="P22" s="191"/>
      <c r="Q22" s="232">
        <v>450</v>
      </c>
    </row>
    <row r="23" spans="1:17" s="200" customFormat="1" ht="20.25" customHeight="1">
      <c r="A23" s="199">
        <v>17</v>
      </c>
      <c r="B23" s="196" t="s">
        <v>60</v>
      </c>
      <c r="C23" s="199" t="s">
        <v>61</v>
      </c>
      <c r="D23" s="199" t="s">
        <v>44</v>
      </c>
      <c r="E23" s="199" t="s">
        <v>168</v>
      </c>
      <c r="F23" s="198">
        <v>25000</v>
      </c>
      <c r="G23" s="13"/>
      <c r="H23" s="13"/>
      <c r="I23" s="13"/>
      <c r="J23" s="13"/>
      <c r="K23" s="13"/>
      <c r="L23" s="16"/>
      <c r="M23" s="15"/>
      <c r="N23" s="198">
        <v>75</v>
      </c>
      <c r="O23" s="198">
        <f t="shared" si="1"/>
        <v>24925</v>
      </c>
      <c r="P23" s="199"/>
      <c r="Q23" s="226">
        <v>450</v>
      </c>
    </row>
    <row r="24" spans="1:17" s="200" customFormat="1" ht="20.25" customHeight="1">
      <c r="A24" s="199">
        <v>18</v>
      </c>
      <c r="B24" s="196" t="s">
        <v>62</v>
      </c>
      <c r="C24" s="199" t="s">
        <v>63</v>
      </c>
      <c r="D24" s="199" t="s">
        <v>44</v>
      </c>
      <c r="E24" s="199" t="s">
        <v>168</v>
      </c>
      <c r="F24" s="198">
        <v>25000</v>
      </c>
      <c r="G24" s="13"/>
      <c r="H24" s="13"/>
      <c r="I24" s="13"/>
      <c r="J24" s="13"/>
      <c r="K24" s="13"/>
      <c r="L24" s="16"/>
      <c r="M24" s="15"/>
      <c r="N24" s="198">
        <v>75</v>
      </c>
      <c r="O24" s="198">
        <f t="shared" si="1"/>
        <v>24925</v>
      </c>
      <c r="P24" s="199"/>
      <c r="Q24" s="226">
        <v>450</v>
      </c>
    </row>
    <row r="25" spans="1:17" s="200" customFormat="1" ht="20.25" customHeight="1">
      <c r="A25" s="199">
        <v>19</v>
      </c>
      <c r="B25" s="196" t="s">
        <v>64</v>
      </c>
      <c r="C25" s="199" t="s">
        <v>65</v>
      </c>
      <c r="D25" s="199" t="s">
        <v>44</v>
      </c>
      <c r="E25" s="199" t="s">
        <v>168</v>
      </c>
      <c r="F25" s="198">
        <v>25000</v>
      </c>
      <c r="G25" s="13"/>
      <c r="H25" s="13"/>
      <c r="I25" s="13"/>
      <c r="J25" s="13"/>
      <c r="K25" s="13"/>
      <c r="L25" s="16"/>
      <c r="M25" s="15"/>
      <c r="N25" s="198">
        <v>75</v>
      </c>
      <c r="O25" s="198">
        <f t="shared" si="1"/>
        <v>24925</v>
      </c>
      <c r="P25" s="199"/>
      <c r="Q25" s="226">
        <v>450</v>
      </c>
    </row>
    <row r="26" spans="1:17" s="200" customFormat="1" ht="20.25" customHeight="1">
      <c r="A26" s="199">
        <v>20</v>
      </c>
      <c r="B26" s="196" t="s">
        <v>66</v>
      </c>
      <c r="C26" s="199" t="s">
        <v>67</v>
      </c>
      <c r="D26" s="199" t="s">
        <v>44</v>
      </c>
      <c r="E26" s="199" t="s">
        <v>168</v>
      </c>
      <c r="F26" s="198">
        <v>25000</v>
      </c>
      <c r="G26" s="13"/>
      <c r="H26" s="13"/>
      <c r="I26" s="13"/>
      <c r="J26" s="13"/>
      <c r="K26" s="13"/>
      <c r="L26" s="16"/>
      <c r="M26" s="15"/>
      <c r="N26" s="198">
        <v>75</v>
      </c>
      <c r="O26" s="198">
        <f t="shared" si="1"/>
        <v>24925</v>
      </c>
      <c r="P26" s="199"/>
      <c r="Q26" s="226">
        <v>450</v>
      </c>
    </row>
    <row r="27" spans="1:17" s="200" customFormat="1" ht="20.25" customHeight="1">
      <c r="A27" s="199">
        <v>21</v>
      </c>
      <c r="B27" s="196" t="s">
        <v>68</v>
      </c>
      <c r="C27" s="199" t="s">
        <v>69</v>
      </c>
      <c r="D27" s="199" t="s">
        <v>44</v>
      </c>
      <c r="E27" s="199" t="s">
        <v>168</v>
      </c>
      <c r="F27" s="198">
        <v>25000</v>
      </c>
      <c r="G27" s="13"/>
      <c r="H27" s="13"/>
      <c r="I27" s="13"/>
      <c r="J27" s="13"/>
      <c r="K27" s="13"/>
      <c r="L27" s="16"/>
      <c r="M27" s="15"/>
      <c r="N27" s="198">
        <v>75</v>
      </c>
      <c r="O27" s="198">
        <f t="shared" si="1"/>
        <v>24925</v>
      </c>
      <c r="P27" s="199"/>
      <c r="Q27" s="226">
        <v>450</v>
      </c>
    </row>
    <row r="28" spans="1:17" s="200" customFormat="1" ht="20.25" customHeight="1">
      <c r="A28" s="199">
        <v>22</v>
      </c>
      <c r="B28" s="196" t="s">
        <v>70</v>
      </c>
      <c r="C28" s="199" t="s">
        <v>71</v>
      </c>
      <c r="D28" s="199" t="s">
        <v>72</v>
      </c>
      <c r="E28" s="199" t="s">
        <v>168</v>
      </c>
      <c r="F28" s="198">
        <v>8800</v>
      </c>
      <c r="G28" s="13"/>
      <c r="H28" s="13">
        <v>400</v>
      </c>
      <c r="I28" s="13">
        <v>22</v>
      </c>
      <c r="J28" s="13"/>
      <c r="K28" s="13"/>
      <c r="L28" s="16"/>
      <c r="M28" s="15"/>
      <c r="N28" s="198">
        <f t="shared" si="0"/>
        <v>44</v>
      </c>
      <c r="O28" s="198">
        <f>SUM(F28-N28)</f>
        <v>8756</v>
      </c>
      <c r="P28" s="198"/>
      <c r="Q28" s="226">
        <f t="shared" si="2"/>
        <v>264</v>
      </c>
    </row>
    <row r="29" spans="1:17" s="200" customFormat="1" ht="20.25" customHeight="1">
      <c r="A29" s="199">
        <v>23</v>
      </c>
      <c r="B29" s="196" t="s">
        <v>73</v>
      </c>
      <c r="C29" s="199" t="s">
        <v>74</v>
      </c>
      <c r="D29" s="199" t="s">
        <v>72</v>
      </c>
      <c r="E29" s="199" t="s">
        <v>168</v>
      </c>
      <c r="F29" s="198">
        <f>+H29*I29</f>
        <v>7920</v>
      </c>
      <c r="G29" s="13"/>
      <c r="H29" s="13">
        <v>360</v>
      </c>
      <c r="I29" s="13">
        <v>22</v>
      </c>
      <c r="J29" s="13"/>
      <c r="K29" s="13"/>
      <c r="L29" s="16"/>
      <c r="M29" s="15"/>
      <c r="N29" s="198">
        <f t="shared" si="0"/>
        <v>40</v>
      </c>
      <c r="O29" s="198">
        <f t="shared" si="1"/>
        <v>7880</v>
      </c>
      <c r="P29" s="198"/>
      <c r="Q29" s="226">
        <v>238</v>
      </c>
    </row>
    <row r="30" spans="1:17" s="200" customFormat="1" ht="20.25" customHeight="1">
      <c r="A30" s="199">
        <v>24</v>
      </c>
      <c r="B30" s="196" t="s">
        <v>75</v>
      </c>
      <c r="C30" s="199" t="s">
        <v>76</v>
      </c>
      <c r="D30" s="199" t="s">
        <v>44</v>
      </c>
      <c r="E30" s="199" t="s">
        <v>168</v>
      </c>
      <c r="F30" s="198">
        <v>25000</v>
      </c>
      <c r="G30" s="13"/>
      <c r="H30" s="13"/>
      <c r="I30" s="13"/>
      <c r="J30" s="13"/>
      <c r="K30" s="13"/>
      <c r="L30" s="16"/>
      <c r="M30" s="15"/>
      <c r="N30" s="198">
        <v>75</v>
      </c>
      <c r="O30" s="198">
        <f t="shared" si="1"/>
        <v>24925</v>
      </c>
      <c r="P30" s="199"/>
      <c r="Q30" s="226">
        <v>450</v>
      </c>
    </row>
    <row r="31" spans="1:17" s="194" customFormat="1" ht="20.25" customHeight="1">
      <c r="A31" s="191">
        <v>25</v>
      </c>
      <c r="B31" s="192" t="s">
        <v>77</v>
      </c>
      <c r="C31" s="191" t="s">
        <v>78</v>
      </c>
      <c r="D31" s="191" t="s">
        <v>79</v>
      </c>
      <c r="E31" s="191" t="s">
        <v>169</v>
      </c>
      <c r="F31" s="193">
        <v>15500</v>
      </c>
      <c r="G31" s="74" t="s">
        <v>80</v>
      </c>
      <c r="H31" s="13"/>
      <c r="I31" s="13"/>
      <c r="J31" s="13"/>
      <c r="K31" s="13"/>
      <c r="L31" s="16"/>
      <c r="M31" s="15"/>
      <c r="N31" s="193">
        <v>75</v>
      </c>
      <c r="O31" s="193">
        <f t="shared" si="1"/>
        <v>15425</v>
      </c>
      <c r="P31" s="191"/>
      <c r="Q31" s="232">
        <v>450</v>
      </c>
    </row>
    <row r="32" spans="1:17" s="194" customFormat="1" ht="20.25" customHeight="1">
      <c r="A32" s="191">
        <v>26</v>
      </c>
      <c r="B32" s="192" t="s">
        <v>84</v>
      </c>
      <c r="C32" s="191" t="s">
        <v>85</v>
      </c>
      <c r="D32" s="191" t="s">
        <v>32</v>
      </c>
      <c r="E32" s="191" t="s">
        <v>169</v>
      </c>
      <c r="F32" s="193">
        <v>15500</v>
      </c>
      <c r="G32" s="74" t="s">
        <v>83</v>
      </c>
      <c r="H32" s="13"/>
      <c r="I32" s="13"/>
      <c r="J32" s="13"/>
      <c r="K32" s="13"/>
      <c r="L32" s="16"/>
      <c r="M32" s="15"/>
      <c r="N32" s="193">
        <v>75</v>
      </c>
      <c r="O32" s="193">
        <f t="shared" si="1"/>
        <v>15425</v>
      </c>
      <c r="P32" s="191"/>
      <c r="Q32" s="232">
        <v>450</v>
      </c>
    </row>
    <row r="33" spans="1:17" s="200" customFormat="1" ht="20.25" customHeight="1">
      <c r="A33" s="199">
        <v>27</v>
      </c>
      <c r="B33" s="196" t="s">
        <v>86</v>
      </c>
      <c r="C33" s="199" t="s">
        <v>87</v>
      </c>
      <c r="D33" s="199" t="s">
        <v>44</v>
      </c>
      <c r="E33" s="199" t="s">
        <v>168</v>
      </c>
      <c r="F33" s="198">
        <v>25000</v>
      </c>
      <c r="G33" s="74" t="s">
        <v>88</v>
      </c>
      <c r="H33" s="13"/>
      <c r="I33" s="13"/>
      <c r="J33" s="13"/>
      <c r="K33" s="13"/>
      <c r="L33" s="16"/>
      <c r="M33" s="15"/>
      <c r="N33" s="198">
        <v>75</v>
      </c>
      <c r="O33" s="198">
        <f t="shared" si="1"/>
        <v>24925</v>
      </c>
      <c r="P33" s="198"/>
      <c r="Q33" s="226">
        <v>450</v>
      </c>
    </row>
    <row r="34" spans="1:17" s="200" customFormat="1" ht="20.25" customHeight="1">
      <c r="A34" s="199">
        <v>28</v>
      </c>
      <c r="B34" s="196" t="s">
        <v>89</v>
      </c>
      <c r="C34" s="199" t="s">
        <v>90</v>
      </c>
      <c r="D34" s="199" t="s">
        <v>72</v>
      </c>
      <c r="E34" s="199" t="s">
        <v>168</v>
      </c>
      <c r="F34" s="198">
        <f>+H34*I34</f>
        <v>7600</v>
      </c>
      <c r="G34" s="74" t="s">
        <v>88</v>
      </c>
      <c r="H34" s="13">
        <v>380</v>
      </c>
      <c r="I34" s="13">
        <v>20</v>
      </c>
      <c r="J34" s="13"/>
      <c r="K34" s="13"/>
      <c r="L34" s="16"/>
      <c r="M34" s="15"/>
      <c r="N34" s="198">
        <f t="shared" si="0"/>
        <v>38</v>
      </c>
      <c r="O34" s="198">
        <f t="shared" si="1"/>
        <v>7562</v>
      </c>
      <c r="P34" s="198"/>
      <c r="Q34" s="226">
        <f t="shared" si="2"/>
        <v>228</v>
      </c>
    </row>
    <row r="35" spans="1:17" s="194" customFormat="1" ht="20.25" customHeight="1">
      <c r="A35" s="191">
        <v>29</v>
      </c>
      <c r="B35" s="192" t="s">
        <v>91</v>
      </c>
      <c r="C35" s="191" t="s">
        <v>92</v>
      </c>
      <c r="D35" s="191" t="s">
        <v>32</v>
      </c>
      <c r="E35" s="191" t="s">
        <v>169</v>
      </c>
      <c r="F35" s="193">
        <v>16200</v>
      </c>
      <c r="G35" s="74" t="s">
        <v>93</v>
      </c>
      <c r="H35" s="13"/>
      <c r="I35" s="13"/>
      <c r="J35" s="13"/>
      <c r="K35" s="13"/>
      <c r="L35" s="16"/>
      <c r="M35" s="15"/>
      <c r="N35" s="193">
        <v>75</v>
      </c>
      <c r="O35" s="193">
        <f t="shared" si="1"/>
        <v>16125</v>
      </c>
      <c r="P35" s="191"/>
      <c r="Q35" s="232">
        <v>450</v>
      </c>
    </row>
    <row r="36" spans="1:17" s="200" customFormat="1" ht="20.25" customHeight="1">
      <c r="A36" s="199">
        <v>30</v>
      </c>
      <c r="B36" s="196" t="s">
        <v>94</v>
      </c>
      <c r="C36" s="201">
        <v>6016200526744</v>
      </c>
      <c r="D36" s="199" t="s">
        <v>95</v>
      </c>
      <c r="E36" s="199" t="s">
        <v>168</v>
      </c>
      <c r="F36" s="198">
        <f>H36*I36</f>
        <v>6600</v>
      </c>
      <c r="G36" s="74" t="s">
        <v>96</v>
      </c>
      <c r="H36" s="13">
        <v>330</v>
      </c>
      <c r="I36" s="13">
        <v>20</v>
      </c>
      <c r="J36" s="13"/>
      <c r="K36" s="13"/>
      <c r="L36" s="16"/>
      <c r="M36" s="15"/>
      <c r="N36" s="198">
        <f t="shared" si="0"/>
        <v>33</v>
      </c>
      <c r="O36" s="198">
        <f t="shared" si="1"/>
        <v>6567</v>
      </c>
      <c r="P36" s="198"/>
      <c r="Q36" s="226">
        <f t="shared" si="2"/>
        <v>198</v>
      </c>
    </row>
    <row r="37" spans="1:17" s="200" customFormat="1" ht="20.25" customHeight="1">
      <c r="A37" s="199">
        <v>31</v>
      </c>
      <c r="B37" s="196" t="s">
        <v>97</v>
      </c>
      <c r="C37" s="201">
        <v>6016200526680</v>
      </c>
      <c r="D37" s="199" t="s">
        <v>95</v>
      </c>
      <c r="E37" s="199" t="s">
        <v>168</v>
      </c>
      <c r="F37" s="198">
        <f t="shared" ref="F37:F43" si="3">H37*I37</f>
        <v>7260</v>
      </c>
      <c r="G37" s="74" t="s">
        <v>96</v>
      </c>
      <c r="H37" s="13">
        <v>330</v>
      </c>
      <c r="I37" s="13">
        <v>22</v>
      </c>
      <c r="J37" s="13"/>
      <c r="K37" s="13"/>
      <c r="L37" s="16"/>
      <c r="M37" s="15"/>
      <c r="N37" s="198">
        <f t="shared" si="0"/>
        <v>36</v>
      </c>
      <c r="O37" s="198">
        <f t="shared" si="1"/>
        <v>7224</v>
      </c>
      <c r="P37" s="198"/>
      <c r="Q37" s="226">
        <v>218</v>
      </c>
    </row>
    <row r="38" spans="1:17" s="200" customFormat="1" ht="20.25" customHeight="1">
      <c r="A38" s="199">
        <v>32</v>
      </c>
      <c r="B38" s="196" t="s">
        <v>98</v>
      </c>
      <c r="C38" s="201">
        <v>6016200526639</v>
      </c>
      <c r="D38" s="199" t="s">
        <v>95</v>
      </c>
      <c r="E38" s="199" t="s">
        <v>168</v>
      </c>
      <c r="F38" s="198">
        <f t="shared" si="3"/>
        <v>7260</v>
      </c>
      <c r="G38" s="74" t="s">
        <v>96</v>
      </c>
      <c r="H38" s="13">
        <v>330</v>
      </c>
      <c r="I38" s="13">
        <v>22</v>
      </c>
      <c r="J38" s="13"/>
      <c r="K38" s="13"/>
      <c r="L38" s="16"/>
      <c r="M38" s="15"/>
      <c r="N38" s="198">
        <f t="shared" si="0"/>
        <v>36</v>
      </c>
      <c r="O38" s="198">
        <f t="shared" si="1"/>
        <v>7224</v>
      </c>
      <c r="P38" s="198"/>
      <c r="Q38" s="226">
        <v>218</v>
      </c>
    </row>
    <row r="39" spans="1:17" s="200" customFormat="1" ht="20.25" customHeight="1">
      <c r="A39" s="199">
        <v>33</v>
      </c>
      <c r="B39" s="196" t="s">
        <v>99</v>
      </c>
      <c r="C39" s="201">
        <v>6016200526591</v>
      </c>
      <c r="D39" s="199" t="s">
        <v>95</v>
      </c>
      <c r="E39" s="199" t="s">
        <v>168</v>
      </c>
      <c r="F39" s="198">
        <f t="shared" si="3"/>
        <v>6600</v>
      </c>
      <c r="G39" s="74" t="s">
        <v>96</v>
      </c>
      <c r="H39" s="13">
        <v>330</v>
      </c>
      <c r="I39" s="13">
        <v>20</v>
      </c>
      <c r="J39" s="13"/>
      <c r="K39" s="13"/>
      <c r="L39" s="16"/>
      <c r="M39" s="15"/>
      <c r="N39" s="198">
        <f t="shared" si="0"/>
        <v>33</v>
      </c>
      <c r="O39" s="198">
        <f t="shared" si="1"/>
        <v>6567</v>
      </c>
      <c r="P39" s="198"/>
      <c r="Q39" s="226">
        <f t="shared" si="2"/>
        <v>198</v>
      </c>
    </row>
    <row r="40" spans="1:17" s="200" customFormat="1" ht="20.25" customHeight="1">
      <c r="A40" s="199">
        <v>34</v>
      </c>
      <c r="B40" s="202" t="s">
        <v>108</v>
      </c>
      <c r="C40" s="199" t="s">
        <v>109</v>
      </c>
      <c r="D40" s="199" t="s">
        <v>72</v>
      </c>
      <c r="E40" s="199" t="s">
        <v>168</v>
      </c>
      <c r="F40" s="198">
        <f t="shared" si="3"/>
        <v>8800</v>
      </c>
      <c r="G40" s="27" t="s">
        <v>107</v>
      </c>
      <c r="H40" s="13">
        <v>400</v>
      </c>
      <c r="I40" s="13">
        <v>22</v>
      </c>
      <c r="J40" s="13"/>
      <c r="K40" s="13"/>
      <c r="L40" s="16"/>
      <c r="M40" s="15"/>
      <c r="N40" s="198">
        <f t="shared" si="0"/>
        <v>44</v>
      </c>
      <c r="O40" s="198">
        <f t="shared" si="1"/>
        <v>8756</v>
      </c>
      <c r="P40" s="198"/>
      <c r="Q40" s="226">
        <f t="shared" si="2"/>
        <v>264</v>
      </c>
    </row>
    <row r="41" spans="1:17" s="200" customFormat="1" ht="20.25" customHeight="1">
      <c r="A41" s="199">
        <v>35</v>
      </c>
      <c r="B41" s="202" t="s">
        <v>110</v>
      </c>
      <c r="C41" s="201">
        <v>6016300837717</v>
      </c>
      <c r="D41" s="199" t="s">
        <v>95</v>
      </c>
      <c r="E41" s="199" t="s">
        <v>168</v>
      </c>
      <c r="F41" s="198">
        <f t="shared" si="3"/>
        <v>6600</v>
      </c>
      <c r="G41" s="27" t="s">
        <v>111</v>
      </c>
      <c r="H41" s="13">
        <v>330</v>
      </c>
      <c r="I41" s="13">
        <v>20</v>
      </c>
      <c r="J41" s="13"/>
      <c r="K41" s="13"/>
      <c r="L41" s="16"/>
      <c r="M41" s="15"/>
      <c r="N41" s="198">
        <f t="shared" si="0"/>
        <v>33</v>
      </c>
      <c r="O41" s="198">
        <f t="shared" si="1"/>
        <v>6567</v>
      </c>
      <c r="P41" s="198"/>
      <c r="Q41" s="226">
        <f t="shared" si="2"/>
        <v>198</v>
      </c>
    </row>
    <row r="42" spans="1:17" s="200" customFormat="1" ht="20.25" customHeight="1">
      <c r="A42" s="199">
        <v>36</v>
      </c>
      <c r="B42" s="202" t="s">
        <v>112</v>
      </c>
      <c r="C42" s="201">
        <v>6016300837709</v>
      </c>
      <c r="D42" s="199" t="s">
        <v>95</v>
      </c>
      <c r="E42" s="199" t="s">
        <v>168</v>
      </c>
      <c r="F42" s="198">
        <f t="shared" si="3"/>
        <v>6930</v>
      </c>
      <c r="G42" s="27" t="s">
        <v>111</v>
      </c>
      <c r="H42" s="13">
        <v>330</v>
      </c>
      <c r="I42" s="13">
        <v>21</v>
      </c>
      <c r="J42" s="13"/>
      <c r="K42" s="13"/>
      <c r="L42" s="16"/>
      <c r="M42" s="15"/>
      <c r="N42" s="198">
        <f t="shared" si="0"/>
        <v>35</v>
      </c>
      <c r="O42" s="198">
        <f t="shared" si="1"/>
        <v>6895</v>
      </c>
      <c r="P42" s="198"/>
      <c r="Q42" s="226">
        <v>208</v>
      </c>
    </row>
    <row r="43" spans="1:17" s="200" customFormat="1" ht="20.25" customHeight="1">
      <c r="A43" s="199">
        <v>37</v>
      </c>
      <c r="B43" s="202" t="s">
        <v>113</v>
      </c>
      <c r="C43" s="201">
        <v>6016300837750</v>
      </c>
      <c r="D43" s="199" t="s">
        <v>95</v>
      </c>
      <c r="E43" s="199" t="s">
        <v>168</v>
      </c>
      <c r="F43" s="198">
        <f t="shared" si="3"/>
        <v>7260</v>
      </c>
      <c r="G43" s="27" t="s">
        <v>111</v>
      </c>
      <c r="H43" s="13">
        <v>330</v>
      </c>
      <c r="I43" s="13">
        <v>22</v>
      </c>
      <c r="J43" s="13"/>
      <c r="K43" s="13"/>
      <c r="L43" s="16"/>
      <c r="M43" s="15"/>
      <c r="N43" s="198">
        <f t="shared" si="0"/>
        <v>36</v>
      </c>
      <c r="O43" s="198">
        <f t="shared" si="1"/>
        <v>7224</v>
      </c>
      <c r="P43" s="199"/>
      <c r="Q43" s="226">
        <v>218</v>
      </c>
    </row>
    <row r="44" spans="1:17" s="200" customFormat="1" ht="20.25" customHeight="1">
      <c r="A44" s="199">
        <v>38</v>
      </c>
      <c r="B44" s="196" t="s">
        <v>100</v>
      </c>
      <c r="C44" s="201">
        <v>1101500149087</v>
      </c>
      <c r="D44" s="199" t="s">
        <v>44</v>
      </c>
      <c r="E44" s="199" t="s">
        <v>168</v>
      </c>
      <c r="F44" s="198">
        <v>25000</v>
      </c>
      <c r="G44" s="27" t="s">
        <v>101</v>
      </c>
      <c r="H44" s="13"/>
      <c r="I44" s="13"/>
      <c r="J44" s="13"/>
      <c r="K44" s="13"/>
      <c r="L44" s="16"/>
      <c r="M44" s="15"/>
      <c r="N44" s="198">
        <v>75</v>
      </c>
      <c r="O44" s="198">
        <f t="shared" si="1"/>
        <v>24925</v>
      </c>
      <c r="P44" s="199"/>
      <c r="Q44" s="226">
        <v>450</v>
      </c>
    </row>
    <row r="45" spans="1:17" s="200" customFormat="1" ht="20.25" customHeight="1">
      <c r="A45" s="199">
        <v>39</v>
      </c>
      <c r="B45" s="196" t="s">
        <v>102</v>
      </c>
      <c r="C45" s="201">
        <v>220062001228</v>
      </c>
      <c r="D45" s="199" t="s">
        <v>95</v>
      </c>
      <c r="E45" s="199" t="s">
        <v>168</v>
      </c>
      <c r="F45" s="198">
        <f>+H45*I45</f>
        <v>6930</v>
      </c>
      <c r="G45" s="27" t="s">
        <v>106</v>
      </c>
      <c r="H45" s="13">
        <v>330</v>
      </c>
      <c r="I45" s="13">
        <v>21</v>
      </c>
      <c r="J45" s="13"/>
      <c r="K45" s="13"/>
      <c r="L45" s="16"/>
      <c r="M45" s="15"/>
      <c r="N45" s="198">
        <f t="shared" si="0"/>
        <v>35</v>
      </c>
      <c r="O45" s="198">
        <f t="shared" si="1"/>
        <v>6895</v>
      </c>
      <c r="P45" s="199"/>
      <c r="Q45" s="226">
        <v>208</v>
      </c>
    </row>
    <row r="46" spans="1:17" s="194" customFormat="1" ht="20.25" customHeight="1">
      <c r="A46" s="191">
        <v>40</v>
      </c>
      <c r="B46" s="192" t="s">
        <v>114</v>
      </c>
      <c r="C46" s="206">
        <v>1419900221235</v>
      </c>
      <c r="D46" s="191" t="s">
        <v>32</v>
      </c>
      <c r="E46" s="191" t="s">
        <v>169</v>
      </c>
      <c r="F46" s="193">
        <v>12000</v>
      </c>
      <c r="G46" s="27" t="s">
        <v>115</v>
      </c>
      <c r="H46" s="13"/>
      <c r="I46" s="13"/>
      <c r="J46" s="13"/>
      <c r="K46" s="13"/>
      <c r="L46" s="16"/>
      <c r="M46" s="15"/>
      <c r="N46" s="193">
        <f t="shared" si="0"/>
        <v>60</v>
      </c>
      <c r="O46" s="193">
        <f t="shared" si="1"/>
        <v>11940</v>
      </c>
      <c r="P46" s="191"/>
      <c r="Q46" s="232">
        <f t="shared" si="2"/>
        <v>360</v>
      </c>
    </row>
    <row r="47" spans="1:17" s="200" customFormat="1" ht="20.25" customHeight="1">
      <c r="A47" s="199">
        <v>41</v>
      </c>
      <c r="B47" s="196" t="s">
        <v>118</v>
      </c>
      <c r="C47" s="201">
        <v>1229900643638</v>
      </c>
      <c r="D47" s="199" t="s">
        <v>44</v>
      </c>
      <c r="E47" s="199" t="s">
        <v>168</v>
      </c>
      <c r="F47" s="198">
        <v>15000</v>
      </c>
      <c r="G47" s="27" t="s">
        <v>119</v>
      </c>
      <c r="H47" s="13"/>
      <c r="I47" s="13"/>
      <c r="J47" s="13"/>
      <c r="K47" s="13"/>
      <c r="L47" s="16"/>
      <c r="M47" s="15"/>
      <c r="N47" s="198">
        <f t="shared" si="0"/>
        <v>75</v>
      </c>
      <c r="O47" s="198">
        <f t="shared" si="1"/>
        <v>14925</v>
      </c>
      <c r="P47" s="199"/>
      <c r="Q47" s="226">
        <f t="shared" si="2"/>
        <v>450</v>
      </c>
    </row>
    <row r="48" spans="1:17" s="200" customFormat="1" ht="20.25" customHeight="1">
      <c r="A48" s="199">
        <v>42</v>
      </c>
      <c r="B48" s="196" t="s">
        <v>120</v>
      </c>
      <c r="C48" s="201">
        <v>3402000037896</v>
      </c>
      <c r="D48" s="199" t="s">
        <v>44</v>
      </c>
      <c r="E48" s="199" t="s">
        <v>168</v>
      </c>
      <c r="F48" s="198">
        <v>15000</v>
      </c>
      <c r="G48" s="27" t="s">
        <v>119</v>
      </c>
      <c r="H48" s="13"/>
      <c r="I48" s="13"/>
      <c r="J48" s="13"/>
      <c r="K48" s="13"/>
      <c r="L48" s="16"/>
      <c r="M48" s="15"/>
      <c r="N48" s="198">
        <f t="shared" si="0"/>
        <v>75</v>
      </c>
      <c r="O48" s="198">
        <f t="shared" si="1"/>
        <v>14925</v>
      </c>
      <c r="P48" s="199"/>
      <c r="Q48" s="226">
        <f t="shared" si="2"/>
        <v>450</v>
      </c>
    </row>
    <row r="49" spans="1:17" s="200" customFormat="1" ht="20.25" customHeight="1">
      <c r="A49" s="199">
        <v>43</v>
      </c>
      <c r="B49" s="196" t="s">
        <v>121</v>
      </c>
      <c r="C49" s="201">
        <v>3341600658671</v>
      </c>
      <c r="D49" s="199" t="s">
        <v>44</v>
      </c>
      <c r="E49" s="199" t="s">
        <v>168</v>
      </c>
      <c r="F49" s="198">
        <v>15000</v>
      </c>
      <c r="G49" s="27" t="s">
        <v>119</v>
      </c>
      <c r="H49" s="13"/>
      <c r="I49" s="13"/>
      <c r="J49" s="13"/>
      <c r="K49" s="13"/>
      <c r="L49" s="16"/>
      <c r="M49" s="15"/>
      <c r="N49" s="198">
        <f t="shared" si="0"/>
        <v>75</v>
      </c>
      <c r="O49" s="198">
        <f t="shared" si="1"/>
        <v>14925</v>
      </c>
      <c r="P49" s="199"/>
      <c r="Q49" s="226">
        <f t="shared" si="2"/>
        <v>450</v>
      </c>
    </row>
    <row r="50" spans="1:17" s="194" customFormat="1" ht="20.25" customHeight="1">
      <c r="A50" s="191">
        <v>44</v>
      </c>
      <c r="B50" s="192" t="s">
        <v>122</v>
      </c>
      <c r="C50" s="206">
        <v>3930100204585</v>
      </c>
      <c r="D50" s="191" t="s">
        <v>19</v>
      </c>
      <c r="E50" s="191" t="s">
        <v>169</v>
      </c>
      <c r="F50" s="193">
        <v>15000</v>
      </c>
      <c r="G50" s="27" t="s">
        <v>119</v>
      </c>
      <c r="H50" s="13"/>
      <c r="I50" s="13"/>
      <c r="J50" s="13"/>
      <c r="K50" s="13"/>
      <c r="L50" s="16"/>
      <c r="M50" s="15"/>
      <c r="N50" s="193">
        <f t="shared" si="0"/>
        <v>75</v>
      </c>
      <c r="O50" s="193">
        <f t="shared" si="1"/>
        <v>14925</v>
      </c>
      <c r="P50" s="191"/>
      <c r="Q50" s="232">
        <f t="shared" si="2"/>
        <v>450</v>
      </c>
    </row>
    <row r="51" spans="1:17" s="200" customFormat="1" ht="20.25" customHeight="1">
      <c r="A51" s="199">
        <v>45</v>
      </c>
      <c r="B51" s="196" t="s">
        <v>123</v>
      </c>
      <c r="C51" s="201">
        <v>1229900813291</v>
      </c>
      <c r="D51" s="199" t="s">
        <v>72</v>
      </c>
      <c r="E51" s="199" t="s">
        <v>168</v>
      </c>
      <c r="F51" s="198">
        <f>H51*I51</f>
        <v>4550</v>
      </c>
      <c r="G51" s="27" t="s">
        <v>119</v>
      </c>
      <c r="H51" s="13">
        <v>350</v>
      </c>
      <c r="I51" s="13">
        <v>13</v>
      </c>
      <c r="J51" s="13"/>
      <c r="K51" s="13"/>
      <c r="L51" s="16"/>
      <c r="M51" s="15"/>
      <c r="N51" s="198">
        <f>ROUND(F51*0.5%,0)</f>
        <v>23</v>
      </c>
      <c r="O51" s="198">
        <f>SUM(F51-N51)</f>
        <v>4527</v>
      </c>
      <c r="P51" s="199"/>
      <c r="Q51" s="226">
        <v>137</v>
      </c>
    </row>
    <row r="52" spans="1:17" s="200" customFormat="1" ht="20.25" customHeight="1">
      <c r="A52" s="227">
        <v>46</v>
      </c>
      <c r="B52" s="228" t="s">
        <v>138</v>
      </c>
      <c r="C52" s="229">
        <v>1461000135963</v>
      </c>
      <c r="D52" s="227" t="s">
        <v>95</v>
      </c>
      <c r="E52" s="227" t="s">
        <v>168</v>
      </c>
      <c r="F52" s="230">
        <f>H52*I52</f>
        <v>7000</v>
      </c>
      <c r="G52" s="210" t="s">
        <v>139</v>
      </c>
      <c r="H52" s="208">
        <v>350</v>
      </c>
      <c r="I52" s="208">
        <v>20</v>
      </c>
      <c r="J52" s="208"/>
      <c r="K52" s="208"/>
      <c r="L52" s="211"/>
      <c r="M52" s="209"/>
      <c r="N52" s="230">
        <f>ROUND(F52*0.5%,0)</f>
        <v>35</v>
      </c>
      <c r="O52" s="230">
        <f>SUM(F52-N52)</f>
        <v>6965</v>
      </c>
      <c r="P52" s="227"/>
      <c r="Q52" s="231">
        <f t="shared" si="2"/>
        <v>210</v>
      </c>
    </row>
    <row r="53" spans="1:17" s="86" customFormat="1" ht="25.5" customHeight="1" thickBot="1">
      <c r="A53" s="402" t="s">
        <v>103</v>
      </c>
      <c r="B53" s="402"/>
      <c r="C53" s="402"/>
      <c r="D53" s="402"/>
      <c r="E53" s="179"/>
      <c r="F53" s="89">
        <f>SUM(F7:F52)</f>
        <v>722480</v>
      </c>
      <c r="G53" s="87"/>
      <c r="H53" s="87"/>
      <c r="I53" s="87"/>
      <c r="J53" s="87"/>
      <c r="K53" s="87"/>
      <c r="L53" s="87"/>
      <c r="M53" s="87"/>
      <c r="N53" s="89">
        <f>SUM(N7:N52)</f>
        <v>2818</v>
      </c>
      <c r="O53" s="75">
        <f>SUM(O7:O52)</f>
        <v>719662</v>
      </c>
      <c r="P53" s="212"/>
      <c r="Q53" s="90">
        <f>SUM(Q7:Q52)</f>
        <v>16906</v>
      </c>
    </row>
    <row r="54" spans="1:17" ht="20.25" customHeight="1" thickTop="1">
      <c r="A54" s="3"/>
      <c r="B54" s="3"/>
      <c r="C54" s="3"/>
      <c r="D54" s="3"/>
      <c r="E54" s="3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"/>
    </row>
    <row r="55" spans="1:17" ht="20.25" customHeight="1" thickBot="1">
      <c r="A55" s="3"/>
      <c r="B55" s="50" t="s">
        <v>12</v>
      </c>
      <c r="C55" s="3"/>
      <c r="D55" s="3"/>
      <c r="E55" s="3"/>
      <c r="F55" s="39"/>
      <c r="G55" s="51" t="s">
        <v>145</v>
      </c>
      <c r="H55" s="39"/>
      <c r="I55" s="39"/>
      <c r="J55" s="39"/>
      <c r="K55" s="39"/>
      <c r="L55" s="39"/>
      <c r="M55" s="39"/>
      <c r="N55" s="39"/>
      <c r="O55" s="39"/>
      <c r="P55" s="3"/>
    </row>
    <row r="56" spans="1:17" ht="20.25" customHeight="1">
      <c r="A56" s="3"/>
      <c r="B56" s="213" t="s">
        <v>104</v>
      </c>
      <c r="C56" s="214" t="s">
        <v>81</v>
      </c>
      <c r="D56" s="215">
        <v>242554</v>
      </c>
      <c r="E56" s="215"/>
      <c r="F56" s="216" t="s">
        <v>146</v>
      </c>
      <c r="G56" s="62" t="s">
        <v>141</v>
      </c>
      <c r="H56" s="63">
        <v>14</v>
      </c>
      <c r="I56" s="63" t="s">
        <v>142</v>
      </c>
      <c r="J56" s="403" t="s">
        <v>143</v>
      </c>
      <c r="K56" s="403"/>
      <c r="L56" s="63">
        <v>1</v>
      </c>
      <c r="M56" s="64" t="s">
        <v>142</v>
      </c>
      <c r="N56" s="45"/>
      <c r="O56" s="3"/>
      <c r="P56" s="3"/>
    </row>
    <row r="57" spans="1:17" ht="20.25" customHeight="1">
      <c r="A57" s="3"/>
      <c r="B57" s="217"/>
      <c r="C57" s="218" t="s">
        <v>28</v>
      </c>
      <c r="D57" s="219">
        <v>242564</v>
      </c>
      <c r="E57" s="219"/>
      <c r="F57" s="220" t="s">
        <v>146</v>
      </c>
      <c r="G57" s="65" t="s">
        <v>144</v>
      </c>
      <c r="H57" s="66">
        <v>32</v>
      </c>
      <c r="I57" s="66" t="s">
        <v>142</v>
      </c>
      <c r="J57" s="404" t="s">
        <v>105</v>
      </c>
      <c r="K57" s="404"/>
      <c r="L57" s="66">
        <v>2</v>
      </c>
      <c r="M57" s="67" t="s">
        <v>142</v>
      </c>
      <c r="N57" s="3"/>
      <c r="O57" s="3"/>
      <c r="P57" s="3"/>
    </row>
    <row r="58" spans="1:17" ht="21.75" customHeight="1" thickBot="1">
      <c r="A58" s="3"/>
      <c r="B58" s="221" t="s">
        <v>137</v>
      </c>
      <c r="C58" s="222" t="s">
        <v>138</v>
      </c>
      <c r="D58" s="223">
        <v>242554</v>
      </c>
      <c r="E58" s="223"/>
      <c r="F58" s="224" t="s">
        <v>140</v>
      </c>
      <c r="G58" s="225" t="s">
        <v>147</v>
      </c>
      <c r="H58" s="69">
        <f>SUM(H56:H57)</f>
        <v>46</v>
      </c>
      <c r="I58" s="70" t="s">
        <v>142</v>
      </c>
      <c r="J58" s="71"/>
      <c r="K58" s="71"/>
      <c r="L58" s="71"/>
      <c r="M58" s="72"/>
    </row>
    <row r="60" spans="1:17" ht="42.75" customHeight="1">
      <c r="D60" s="11" t="s">
        <v>167</v>
      </c>
      <c r="E60" s="11" t="s">
        <v>158</v>
      </c>
      <c r="F60" s="234" t="s">
        <v>170</v>
      </c>
      <c r="N60" s="234" t="s">
        <v>171</v>
      </c>
      <c r="O60" s="234" t="s">
        <v>172</v>
      </c>
    </row>
    <row r="61" spans="1:17">
      <c r="D61" s="199" t="s">
        <v>168</v>
      </c>
      <c r="E61" s="197">
        <f>+F7+F10+F13+F16+F17+F18+F19+F20+F23+F24+F25+F26+F27+F28+F29+F30+F33+F34+F36+F37+F38+F39+F40+F41+F42+F43+F44+F45+F47+F48+F49+F51+F52</f>
        <v>493580</v>
      </c>
      <c r="F61" s="197">
        <f>+Q7+Q10+Q13+Q16+Q17+Q18+Q19+Q20+Q23+Q24+Q25+Q26+Q27+Q28+Q29+Q30+Q33+Q34+Q36+Q37+Q38+Q39+Q40+Q41+Q42+Q43+Q44+Q45+Q47+Q48+Q49+Q51+Q52</f>
        <v>11239</v>
      </c>
      <c r="N61" s="197">
        <f>+N7+N10+N13+N16+N17+N18+N19+N20+N23+N24+N25+N26+N27+N28+N29+N30+N33+N34+N36+N37+N38+N39+N40+N41+N42+N43+N44+N45+N47+N48+N49+N51+N52</f>
        <v>1873</v>
      </c>
      <c r="O61" s="197">
        <f>SUBTOTAL(9,F61:N61)</f>
        <v>13112</v>
      </c>
    </row>
    <row r="62" spans="1:17">
      <c r="D62" s="191" t="s">
        <v>169</v>
      </c>
      <c r="E62" s="204">
        <f>+F8+F9+F11+F12+F14+F15+F21+F22+F31+F32+F35+F46+F50</f>
        <v>228900</v>
      </c>
      <c r="F62" s="204">
        <f>+Q8+Q9+Q11+Q12+Q14+Q15+Q21+Q22+Q31+Q32+Q35+Q46+Q50</f>
        <v>5667</v>
      </c>
      <c r="N62" s="204">
        <f>+N8+N9+N11+N12+N14+N15+N21+N22+N31+N32+N35+N46+N50</f>
        <v>945</v>
      </c>
      <c r="O62" s="204">
        <f>SUBTOTAL(9,F62:N62)</f>
        <v>6612</v>
      </c>
    </row>
    <row r="63" spans="1:17" ht="24">
      <c r="D63" s="195" t="s">
        <v>147</v>
      </c>
      <c r="E63" s="233">
        <f>SUM(E61:E62)</f>
        <v>722480</v>
      </c>
      <c r="F63" s="233">
        <f t="shared" ref="F63:O63" si="4">SUM(F61:F62)</f>
        <v>16906</v>
      </c>
      <c r="G63" s="233">
        <f t="shared" si="4"/>
        <v>0</v>
      </c>
      <c r="H63" s="233">
        <f t="shared" si="4"/>
        <v>0</v>
      </c>
      <c r="I63" s="233">
        <f t="shared" si="4"/>
        <v>0</v>
      </c>
      <c r="J63" s="233">
        <f t="shared" si="4"/>
        <v>0</v>
      </c>
      <c r="K63" s="233">
        <f t="shared" si="4"/>
        <v>0</v>
      </c>
      <c r="L63" s="233">
        <f t="shared" si="4"/>
        <v>0</v>
      </c>
      <c r="M63" s="233">
        <f t="shared" si="4"/>
        <v>0</v>
      </c>
      <c r="N63" s="233">
        <f t="shared" si="4"/>
        <v>2818</v>
      </c>
      <c r="O63" s="233">
        <f t="shared" si="4"/>
        <v>19724</v>
      </c>
    </row>
  </sheetData>
  <autoFilter ref="A5:Q53" xr:uid="{70C18C34-7A7B-4B2B-AA53-F71DEE9E1F08}">
    <filterColumn colId="7" showButton="0"/>
    <filterColumn colId="9" showButton="0"/>
    <filterColumn colId="11" showButton="0"/>
    <filterColumn colId="12" showButton="0"/>
  </autoFilter>
  <mergeCells count="19">
    <mergeCell ref="O5:O6"/>
    <mergeCell ref="P5:P6"/>
    <mergeCell ref="Q5:Q6"/>
    <mergeCell ref="A53:D53"/>
    <mergeCell ref="A1:P1"/>
    <mergeCell ref="A2:P2"/>
    <mergeCell ref="A3:P3"/>
    <mergeCell ref="A5:A6"/>
    <mergeCell ref="B5:B6"/>
    <mergeCell ref="C5:C6"/>
    <mergeCell ref="D5:D6"/>
    <mergeCell ref="F5:F6"/>
    <mergeCell ref="G5:G6"/>
    <mergeCell ref="H5:I5"/>
    <mergeCell ref="J56:K56"/>
    <mergeCell ref="J57:K57"/>
    <mergeCell ref="E5:E6"/>
    <mergeCell ref="J5:K5"/>
    <mergeCell ref="L5:N5"/>
  </mergeCells>
  <printOptions horizontalCentered="1"/>
  <pageMargins left="0.23622047244094491" right="0.23622047244094491" top="0.31496062992125984" bottom="0.11811023622047245" header="0.31496062992125984" footer="0.11811023622047245"/>
  <pageSetup paperSize="9" scale="75" orientation="landscape" horizontalDpi="4294967293" r:id="rId1"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C1CF-DB71-4334-87D3-276117B180FB}">
  <dimension ref="A1:Q57"/>
  <sheetViews>
    <sheetView zoomScale="90" zoomScaleNormal="90" zoomScaleSheetLayoutView="100" workbookViewId="0">
      <pane xSplit="5" ySplit="6" topLeftCell="F48" activePane="bottomRight" state="frozen"/>
      <selection pane="topRight" activeCell="G1" sqref="G1"/>
      <selection pane="bottomLeft" activeCell="A7" sqref="A7"/>
      <selection pane="bottomRight" activeCell="O52" sqref="O52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3" style="1" bestFit="1" customWidth="1"/>
    <col min="6" max="6" width="15" style="1" bestFit="1" customWidth="1"/>
    <col min="7" max="7" width="5.140625" style="1" bestFit="1" customWidth="1"/>
    <col min="8" max="8" width="7.85546875" style="1" bestFit="1" customWidth="1"/>
    <col min="9" max="9" width="4" style="1" bestFit="1" customWidth="1"/>
    <col min="10" max="10" width="7" style="1" bestFit="1" customWidth="1"/>
    <col min="11" max="11" width="6.7109375" style="1" bestFit="1" customWidth="1"/>
    <col min="12" max="12" width="5.5703125" style="1" bestFit="1" customWidth="1"/>
    <col min="13" max="13" width="15.42578125" style="1" bestFit="1" customWidth="1"/>
    <col min="14" max="14" width="8.42578125" style="94" bestFit="1" customWidth="1"/>
    <col min="15" max="15" width="10.5703125" style="1" bestFit="1" customWidth="1"/>
    <col min="16" max="16" width="12.42578125" style="76" bestFit="1" customWidth="1"/>
    <col min="17" max="17" width="11.140625" style="1" customWidth="1"/>
    <col min="18" max="16384" width="9" style="1"/>
  </cols>
  <sheetData>
    <row r="1" spans="1:17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20.25" customHeight="1">
      <c r="A3" s="381" t="s">
        <v>151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1.25" customHeight="1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92"/>
      <c r="O4" s="9"/>
      <c r="Q4" s="9"/>
    </row>
    <row r="5" spans="1:17" ht="20.25" customHeight="1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09" t="s">
        <v>149</v>
      </c>
      <c r="Q5" s="407" t="s">
        <v>12</v>
      </c>
    </row>
    <row r="6" spans="1:17" ht="27" customHeight="1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136</v>
      </c>
      <c r="N6" s="91" t="s">
        <v>150</v>
      </c>
      <c r="O6" s="396"/>
      <c r="P6" s="410"/>
      <c r="Q6" s="408"/>
    </row>
    <row r="7" spans="1:17" s="110" customFormat="1" ht="20.25" customHeigh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ROUND(E7*0.5%,0)</f>
        <v>73</v>
      </c>
      <c r="N7" s="103"/>
      <c r="O7" s="103">
        <f>SUM(E7-M7-N7)</f>
        <v>14527</v>
      </c>
      <c r="P7" s="116">
        <f>ROUND(E7*3%,0)</f>
        <v>438</v>
      </c>
      <c r="Q7" s="152"/>
    </row>
    <row r="8" spans="1:17" s="110" customFormat="1" ht="20.25" customHeigh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 t="shared" ref="M8:M49" si="0">ROUND(E8*0.5%,0)</f>
        <v>68</v>
      </c>
      <c r="N8" s="103"/>
      <c r="O8" s="103">
        <f t="shared" ref="O8:O51" si="1">SUM(E8-M8-N8)</f>
        <v>13432</v>
      </c>
      <c r="P8" s="116">
        <f>ROUND(E8*3%,0)</f>
        <v>405</v>
      </c>
      <c r="Q8" s="100"/>
    </row>
    <row r="9" spans="1:17" s="110" customFormat="1" ht="20.25" customHeigh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si="0"/>
        <v>67</v>
      </c>
      <c r="N9" s="103"/>
      <c r="O9" s="103">
        <f t="shared" si="1"/>
        <v>13333</v>
      </c>
      <c r="P9" s="116">
        <f>ROUND(E9*3%,0)</f>
        <v>402</v>
      </c>
      <c r="Q9" s="100"/>
    </row>
    <row r="10" spans="1:17" s="110" customFormat="1" ht="20.25" customHeigh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75</v>
      </c>
      <c r="N10" s="103">
        <v>1785</v>
      </c>
      <c r="O10" s="103">
        <f t="shared" si="1"/>
        <v>14640</v>
      </c>
      <c r="P10" s="104">
        <v>450</v>
      </c>
      <c r="Q10" s="100"/>
    </row>
    <row r="11" spans="1:17" s="110" customFormat="1" ht="20.25" customHeigh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75</v>
      </c>
      <c r="N11" s="103"/>
      <c r="O11" s="103">
        <f t="shared" si="1"/>
        <v>17225</v>
      </c>
      <c r="P11" s="104">
        <v>450</v>
      </c>
      <c r="Q11" s="100"/>
    </row>
    <row r="12" spans="1:17" s="110" customFormat="1" ht="20.25" customHeigh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75</v>
      </c>
      <c r="N12" s="103"/>
      <c r="O12" s="103">
        <f t="shared" si="1"/>
        <v>18925</v>
      </c>
      <c r="P12" s="104">
        <v>450</v>
      </c>
      <c r="Q12" s="100"/>
    </row>
    <row r="13" spans="1:17" s="110" customFormat="1" ht="20.25" customHeigh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75</v>
      </c>
      <c r="N13" s="103">
        <v>4076</v>
      </c>
      <c r="O13" s="103">
        <f t="shared" si="1"/>
        <v>20849</v>
      </c>
      <c r="P13" s="104">
        <v>450</v>
      </c>
      <c r="Q13" s="100"/>
    </row>
    <row r="14" spans="1:17" s="110" customFormat="1" ht="20.25" customHeigh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75</v>
      </c>
      <c r="N14" s="103">
        <v>1816</v>
      </c>
      <c r="O14" s="103">
        <f t="shared" si="1"/>
        <v>18609</v>
      </c>
      <c r="P14" s="104">
        <v>450</v>
      </c>
      <c r="Q14" s="100"/>
    </row>
    <row r="15" spans="1:17" s="110" customFormat="1" ht="20.25" customHeigh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75</v>
      </c>
      <c r="N15" s="103"/>
      <c r="O15" s="103">
        <f t="shared" si="1"/>
        <v>24925</v>
      </c>
      <c r="P15" s="104">
        <v>450</v>
      </c>
      <c r="Q15" s="100"/>
    </row>
    <row r="16" spans="1:17" s="110" customFormat="1" ht="20.25" customHeigh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75</v>
      </c>
      <c r="N16" s="103"/>
      <c r="O16" s="103">
        <f t="shared" si="1"/>
        <v>19625</v>
      </c>
      <c r="P16" s="104">
        <v>450</v>
      </c>
      <c r="Q16" s="100"/>
    </row>
    <row r="17" spans="1:17" s="110" customFormat="1" ht="20.25" customHeigh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75</v>
      </c>
      <c r="N17" s="103"/>
      <c r="O17" s="103">
        <f t="shared" si="1"/>
        <v>17525</v>
      </c>
      <c r="P17" s="104">
        <v>450</v>
      </c>
      <c r="Q17" s="100"/>
    </row>
    <row r="18" spans="1:17" s="110" customFormat="1" ht="20.25" customHeigh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75</v>
      </c>
      <c r="N18" s="103"/>
      <c r="O18" s="103">
        <f t="shared" si="1"/>
        <v>24925</v>
      </c>
      <c r="P18" s="104">
        <v>450</v>
      </c>
      <c r="Q18" s="100"/>
    </row>
    <row r="19" spans="1:17" s="110" customFormat="1" ht="20.25" customHeigh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75</v>
      </c>
      <c r="N19" s="103"/>
      <c r="O19" s="103">
        <f t="shared" si="1"/>
        <v>22625</v>
      </c>
      <c r="P19" s="104">
        <v>450</v>
      </c>
      <c r="Q19" s="100"/>
    </row>
    <row r="20" spans="1:17" s="110" customFormat="1" ht="20.25" customHeigh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75</v>
      </c>
      <c r="N20" s="103"/>
      <c r="O20" s="103">
        <f t="shared" si="1"/>
        <v>23425</v>
      </c>
      <c r="P20" s="104">
        <v>450</v>
      </c>
      <c r="Q20" s="100"/>
    </row>
    <row r="21" spans="1:17" s="110" customFormat="1" ht="20.25" customHeigh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75</v>
      </c>
      <c r="N21" s="103"/>
      <c r="O21" s="103">
        <f t="shared" si="1"/>
        <v>24925</v>
      </c>
      <c r="P21" s="104">
        <v>450</v>
      </c>
      <c r="Q21" s="100"/>
    </row>
    <row r="22" spans="1:17" s="110" customFormat="1" ht="20.25" customHeigh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75</v>
      </c>
      <c r="N22" s="103"/>
      <c r="O22" s="103">
        <f t="shared" si="1"/>
        <v>24925</v>
      </c>
      <c r="P22" s="104">
        <v>450</v>
      </c>
      <c r="Q22" s="100"/>
    </row>
    <row r="23" spans="1:17" s="110" customFormat="1" ht="20.25" customHeigh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75</v>
      </c>
      <c r="N23" s="103"/>
      <c r="O23" s="103">
        <f t="shared" si="1"/>
        <v>24925</v>
      </c>
      <c r="P23" s="104">
        <v>450</v>
      </c>
      <c r="Q23" s="100"/>
    </row>
    <row r="24" spans="1:17" s="110" customFormat="1" ht="20.25" customHeigh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75</v>
      </c>
      <c r="N24" s="103"/>
      <c r="O24" s="103">
        <f t="shared" si="1"/>
        <v>24925</v>
      </c>
      <c r="P24" s="104">
        <v>450</v>
      </c>
      <c r="Q24" s="100"/>
    </row>
    <row r="25" spans="1:17" s="110" customFormat="1" ht="20.25" customHeigh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75</v>
      </c>
      <c r="N25" s="103"/>
      <c r="O25" s="103">
        <f t="shared" si="1"/>
        <v>24925</v>
      </c>
      <c r="P25" s="104">
        <v>450</v>
      </c>
      <c r="Q25" s="100"/>
    </row>
    <row r="26" spans="1:17" s="110" customFormat="1" ht="20.25" customHeigh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75</v>
      </c>
      <c r="N26" s="103"/>
      <c r="O26" s="103">
        <f t="shared" si="1"/>
        <v>24925</v>
      </c>
      <c r="P26" s="104">
        <v>450</v>
      </c>
      <c r="Q26" s="100"/>
    </row>
    <row r="27" spans="1:17" s="129" customFormat="1" ht="20.25" customHeigh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v>8800</v>
      </c>
      <c r="F27" s="123"/>
      <c r="G27" s="123">
        <v>400</v>
      </c>
      <c r="H27" s="123">
        <v>22</v>
      </c>
      <c r="I27" s="123"/>
      <c r="J27" s="123"/>
      <c r="K27" s="126"/>
      <c r="L27" s="124"/>
      <c r="M27" s="124">
        <f t="shared" si="0"/>
        <v>44</v>
      </c>
      <c r="N27" s="124"/>
      <c r="O27" s="124">
        <f t="shared" si="1"/>
        <v>8756</v>
      </c>
      <c r="P27" s="128">
        <f>ROUND(E27*3%,0)</f>
        <v>264</v>
      </c>
      <c r="Q27" s="124"/>
    </row>
    <row r="28" spans="1:17" s="129" customFormat="1" ht="20.25" customHeigh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8640</v>
      </c>
      <c r="F28" s="123"/>
      <c r="G28" s="123">
        <v>360</v>
      </c>
      <c r="H28" s="123">
        <v>24</v>
      </c>
      <c r="I28" s="123"/>
      <c r="J28" s="123"/>
      <c r="K28" s="126"/>
      <c r="L28" s="124"/>
      <c r="M28" s="124">
        <f t="shared" si="0"/>
        <v>43</v>
      </c>
      <c r="N28" s="124"/>
      <c r="O28" s="124">
        <f t="shared" si="1"/>
        <v>8597</v>
      </c>
      <c r="P28" s="128">
        <f>ROUND(E28*3%,0)</f>
        <v>259</v>
      </c>
      <c r="Q28" s="124"/>
    </row>
    <row r="29" spans="1:17" s="110" customFormat="1" ht="20.25" customHeigh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75</v>
      </c>
      <c r="N29" s="103"/>
      <c r="O29" s="103">
        <f t="shared" si="1"/>
        <v>24925</v>
      </c>
      <c r="P29" s="104">
        <v>450</v>
      </c>
      <c r="Q29" s="100"/>
    </row>
    <row r="30" spans="1:17" s="110" customFormat="1" ht="20.25" customHeigh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75</v>
      </c>
      <c r="N30" s="103"/>
      <c r="O30" s="103">
        <f t="shared" si="1"/>
        <v>15425</v>
      </c>
      <c r="P30" s="104">
        <v>450</v>
      </c>
      <c r="Q30" s="100"/>
    </row>
    <row r="31" spans="1:17" s="114" customFormat="1" ht="20.25" customHeigh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75</v>
      </c>
      <c r="N31" s="103"/>
      <c r="O31" s="103">
        <f t="shared" si="1"/>
        <v>15425</v>
      </c>
      <c r="P31" s="104">
        <v>450</v>
      </c>
      <c r="Q31" s="100"/>
    </row>
    <row r="32" spans="1:17" s="110" customFormat="1" ht="20.25" customHeigh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75</v>
      </c>
      <c r="N32" s="103"/>
      <c r="O32" s="103">
        <f t="shared" si="1"/>
        <v>24925</v>
      </c>
      <c r="P32" s="104">
        <v>450</v>
      </c>
      <c r="Q32" s="102"/>
    </row>
    <row r="33" spans="1:17" s="129" customFormat="1" ht="20.25" customHeigh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7600</v>
      </c>
      <c r="F33" s="125" t="s">
        <v>88</v>
      </c>
      <c r="G33" s="123">
        <v>380</v>
      </c>
      <c r="H33" s="123">
        <v>20</v>
      </c>
      <c r="I33" s="123"/>
      <c r="J33" s="123"/>
      <c r="K33" s="126"/>
      <c r="L33" s="124"/>
      <c r="M33" s="124">
        <f t="shared" si="0"/>
        <v>38</v>
      </c>
      <c r="N33" s="124"/>
      <c r="O33" s="124">
        <f t="shared" si="1"/>
        <v>7562</v>
      </c>
      <c r="P33" s="128">
        <f>ROUND(E33*3%,0)</f>
        <v>228</v>
      </c>
      <c r="Q33" s="127"/>
    </row>
    <row r="34" spans="1:17" s="110" customFormat="1" ht="20.25" customHeigh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75</v>
      </c>
      <c r="N34" s="103"/>
      <c r="O34" s="103">
        <f t="shared" si="1"/>
        <v>16125</v>
      </c>
      <c r="P34" s="104">
        <v>450</v>
      </c>
      <c r="Q34" s="100"/>
    </row>
    <row r="35" spans="1:17" s="129" customFormat="1" ht="20.25" customHeigh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7260</v>
      </c>
      <c r="F35" s="125" t="s">
        <v>96</v>
      </c>
      <c r="G35" s="123">
        <v>330</v>
      </c>
      <c r="H35" s="123">
        <v>22</v>
      </c>
      <c r="I35" s="123"/>
      <c r="J35" s="123"/>
      <c r="K35" s="126"/>
      <c r="L35" s="124"/>
      <c r="M35" s="124">
        <f t="shared" si="0"/>
        <v>36</v>
      </c>
      <c r="N35" s="124"/>
      <c r="O35" s="124">
        <f t="shared" si="1"/>
        <v>7224</v>
      </c>
      <c r="P35" s="128">
        <f t="shared" ref="P35:P42" si="2">ROUND(E35*3%,0)</f>
        <v>218</v>
      </c>
      <c r="Q35" s="127"/>
    </row>
    <row r="36" spans="1:17" s="129" customFormat="1" ht="20.25" customHeigh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7260</v>
      </c>
      <c r="F36" s="125" t="s">
        <v>96</v>
      </c>
      <c r="G36" s="123">
        <v>330</v>
      </c>
      <c r="H36" s="123">
        <v>22</v>
      </c>
      <c r="I36" s="123"/>
      <c r="J36" s="123"/>
      <c r="K36" s="126"/>
      <c r="L36" s="124"/>
      <c r="M36" s="124">
        <f t="shared" si="0"/>
        <v>36</v>
      </c>
      <c r="N36" s="124"/>
      <c r="O36" s="124">
        <f t="shared" si="1"/>
        <v>7224</v>
      </c>
      <c r="P36" s="128">
        <f t="shared" si="2"/>
        <v>218</v>
      </c>
      <c r="Q36" s="127"/>
    </row>
    <row r="37" spans="1:17" s="129" customFormat="1" ht="20.25" customHeigh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7260</v>
      </c>
      <c r="F37" s="125" t="s">
        <v>96</v>
      </c>
      <c r="G37" s="123">
        <v>330</v>
      </c>
      <c r="H37" s="123">
        <v>22</v>
      </c>
      <c r="I37" s="123"/>
      <c r="J37" s="123"/>
      <c r="K37" s="126"/>
      <c r="L37" s="124"/>
      <c r="M37" s="124">
        <f t="shared" si="0"/>
        <v>36</v>
      </c>
      <c r="N37" s="124"/>
      <c r="O37" s="124">
        <f t="shared" si="1"/>
        <v>7224</v>
      </c>
      <c r="P37" s="128">
        <f t="shared" si="2"/>
        <v>218</v>
      </c>
      <c r="Q37" s="124"/>
    </row>
    <row r="38" spans="1:17" s="129" customFormat="1" ht="20.25" customHeigh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7920</v>
      </c>
      <c r="F38" s="125" t="s">
        <v>96</v>
      </c>
      <c r="G38" s="123">
        <v>330</v>
      </c>
      <c r="H38" s="123">
        <v>24</v>
      </c>
      <c r="I38" s="123"/>
      <c r="J38" s="123"/>
      <c r="K38" s="126"/>
      <c r="L38" s="124"/>
      <c r="M38" s="124">
        <f t="shared" si="0"/>
        <v>40</v>
      </c>
      <c r="N38" s="124"/>
      <c r="O38" s="124">
        <f t="shared" si="1"/>
        <v>7880</v>
      </c>
      <c r="P38" s="128">
        <f t="shared" si="2"/>
        <v>238</v>
      </c>
      <c r="Q38" s="124"/>
    </row>
    <row r="39" spans="1:17" s="136" customFormat="1" ht="20.25" customHeigh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9600</v>
      </c>
      <c r="F39" s="133" t="s">
        <v>107</v>
      </c>
      <c r="G39" s="132">
        <v>400</v>
      </c>
      <c r="H39" s="132">
        <v>24</v>
      </c>
      <c r="I39" s="132"/>
      <c r="J39" s="132"/>
      <c r="K39" s="134"/>
      <c r="L39" s="135"/>
      <c r="M39" s="124">
        <f t="shared" si="0"/>
        <v>48</v>
      </c>
      <c r="N39" s="124"/>
      <c r="O39" s="124">
        <f t="shared" si="1"/>
        <v>9552</v>
      </c>
      <c r="P39" s="128">
        <f t="shared" si="2"/>
        <v>288</v>
      </c>
      <c r="Q39" s="124"/>
    </row>
    <row r="40" spans="1:17" s="136" customFormat="1" ht="20.25" customHeigh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7260</v>
      </c>
      <c r="F40" s="133" t="s">
        <v>111</v>
      </c>
      <c r="G40" s="132">
        <v>330</v>
      </c>
      <c r="H40" s="132">
        <v>22</v>
      </c>
      <c r="I40" s="132"/>
      <c r="J40" s="132"/>
      <c r="K40" s="134"/>
      <c r="L40" s="135"/>
      <c r="M40" s="124">
        <f t="shared" si="0"/>
        <v>36</v>
      </c>
      <c r="N40" s="124"/>
      <c r="O40" s="124">
        <f t="shared" si="1"/>
        <v>7224</v>
      </c>
      <c r="P40" s="128">
        <f t="shared" si="2"/>
        <v>218</v>
      </c>
      <c r="Q40" s="124"/>
    </row>
    <row r="41" spans="1:17" s="136" customFormat="1" ht="20.25" customHeigh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7260</v>
      </c>
      <c r="F41" s="133" t="s">
        <v>111</v>
      </c>
      <c r="G41" s="132">
        <v>330</v>
      </c>
      <c r="H41" s="132">
        <v>22</v>
      </c>
      <c r="I41" s="132"/>
      <c r="J41" s="132"/>
      <c r="K41" s="134"/>
      <c r="L41" s="135"/>
      <c r="M41" s="124">
        <f t="shared" si="0"/>
        <v>36</v>
      </c>
      <c r="N41" s="124"/>
      <c r="O41" s="124">
        <f t="shared" si="1"/>
        <v>7224</v>
      </c>
      <c r="P41" s="128">
        <f t="shared" si="2"/>
        <v>218</v>
      </c>
      <c r="Q41" s="124"/>
    </row>
    <row r="42" spans="1:17" s="136" customFormat="1" ht="20.25" customHeigh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7920</v>
      </c>
      <c r="F42" s="133" t="s">
        <v>111</v>
      </c>
      <c r="G42" s="132">
        <v>330</v>
      </c>
      <c r="H42" s="132">
        <v>24</v>
      </c>
      <c r="I42" s="132"/>
      <c r="J42" s="132"/>
      <c r="K42" s="134"/>
      <c r="L42" s="135"/>
      <c r="M42" s="124">
        <f t="shared" si="0"/>
        <v>40</v>
      </c>
      <c r="N42" s="124"/>
      <c r="O42" s="124">
        <f t="shared" si="1"/>
        <v>7880</v>
      </c>
      <c r="P42" s="128">
        <f t="shared" si="2"/>
        <v>238</v>
      </c>
      <c r="Q42" s="132"/>
    </row>
    <row r="43" spans="1:17" s="110" customFormat="1" ht="20.25" customHeigh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75</v>
      </c>
      <c r="N43" s="103"/>
      <c r="O43" s="103">
        <f t="shared" si="1"/>
        <v>24925</v>
      </c>
      <c r="P43" s="104">
        <v>450</v>
      </c>
      <c r="Q43" s="100"/>
    </row>
    <row r="44" spans="1:17" s="129" customFormat="1" ht="20.25" customHeigh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7260</v>
      </c>
      <c r="F44" s="138" t="s">
        <v>106</v>
      </c>
      <c r="G44" s="123">
        <v>330</v>
      </c>
      <c r="H44" s="123">
        <v>22</v>
      </c>
      <c r="I44" s="123"/>
      <c r="J44" s="123"/>
      <c r="K44" s="126"/>
      <c r="L44" s="124"/>
      <c r="M44" s="124">
        <f t="shared" si="0"/>
        <v>36</v>
      </c>
      <c r="N44" s="124"/>
      <c r="O44" s="124">
        <f t="shared" si="1"/>
        <v>7224</v>
      </c>
      <c r="P44" s="128">
        <f>ROUND(E44*3%,0)</f>
        <v>218</v>
      </c>
      <c r="Q44" s="139"/>
    </row>
    <row r="45" spans="1:17" s="105" customFormat="1" ht="20.25" customHeigh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 t="shared" si="0"/>
        <v>60</v>
      </c>
      <c r="N45" s="103"/>
      <c r="O45" s="103">
        <f t="shared" si="1"/>
        <v>11940</v>
      </c>
      <c r="P45" s="116">
        <f>ROUND(E45*3%,0)</f>
        <v>360</v>
      </c>
      <c r="Q45" s="100"/>
    </row>
    <row r="46" spans="1:17" s="114" customFormat="1" ht="20.25" customHeigh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98">
        <f t="shared" si="0"/>
        <v>75</v>
      </c>
      <c r="N46" s="98"/>
      <c r="O46" s="103">
        <f t="shared" si="1"/>
        <v>14925</v>
      </c>
      <c r="P46" s="104">
        <f t="shared" ref="P46:P49" si="4">+E46*3/100</f>
        <v>450</v>
      </c>
      <c r="Q46" s="95"/>
    </row>
    <row r="47" spans="1:17" s="114" customFormat="1" ht="20.25" customHeigh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98">
        <f t="shared" si="0"/>
        <v>75</v>
      </c>
      <c r="N47" s="98"/>
      <c r="O47" s="103">
        <f t="shared" si="1"/>
        <v>14925</v>
      </c>
      <c r="P47" s="104">
        <f t="shared" si="4"/>
        <v>450</v>
      </c>
      <c r="Q47" s="95"/>
    </row>
    <row r="48" spans="1:17" s="114" customFormat="1" ht="20.25" customHeigh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98">
        <f t="shared" si="0"/>
        <v>75</v>
      </c>
      <c r="N48" s="98"/>
      <c r="O48" s="103">
        <f t="shared" si="1"/>
        <v>14925</v>
      </c>
      <c r="P48" s="104">
        <f t="shared" si="4"/>
        <v>450</v>
      </c>
      <c r="Q48" s="95"/>
    </row>
    <row r="49" spans="1:17" s="114" customFormat="1" ht="20.25" customHeigh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98">
        <f t="shared" si="0"/>
        <v>75</v>
      </c>
      <c r="N49" s="98"/>
      <c r="O49" s="103">
        <f t="shared" si="1"/>
        <v>14925</v>
      </c>
      <c r="P49" s="104">
        <f t="shared" si="4"/>
        <v>450</v>
      </c>
      <c r="Q49" s="95"/>
    </row>
    <row r="50" spans="1:17" s="136" customFormat="1" ht="20.25" customHeight="1">
      <c r="A50" s="121">
        <v>44</v>
      </c>
      <c r="B50" s="140" t="s">
        <v>123</v>
      </c>
      <c r="C50" s="137">
        <v>1229900813291</v>
      </c>
      <c r="D50" s="132" t="s">
        <v>72</v>
      </c>
      <c r="E50" s="135">
        <f>G50*H50</f>
        <v>4550</v>
      </c>
      <c r="F50" s="133" t="s">
        <v>119</v>
      </c>
      <c r="G50" s="132">
        <v>350</v>
      </c>
      <c r="H50" s="132">
        <v>13</v>
      </c>
      <c r="I50" s="132"/>
      <c r="J50" s="132"/>
      <c r="K50" s="134"/>
      <c r="L50" s="135"/>
      <c r="M50" s="135">
        <f>ROUND(E50*0.5%,0)</f>
        <v>23</v>
      </c>
      <c r="N50" s="135"/>
      <c r="O50" s="124">
        <f t="shared" si="1"/>
        <v>4527</v>
      </c>
      <c r="P50" s="128">
        <f>ROUND(E50*3%,0)</f>
        <v>137</v>
      </c>
      <c r="Q50" s="132"/>
    </row>
    <row r="51" spans="1:17" s="147" customFormat="1" ht="20.25" customHeight="1">
      <c r="A51" s="121">
        <v>45</v>
      </c>
      <c r="B51" s="141" t="s">
        <v>138</v>
      </c>
      <c r="C51" s="142">
        <v>1461000135963</v>
      </c>
      <c r="D51" s="143" t="s">
        <v>95</v>
      </c>
      <c r="E51" s="128">
        <f>G51*H51</f>
        <v>8400</v>
      </c>
      <c r="F51" s="144" t="s">
        <v>139</v>
      </c>
      <c r="G51" s="143">
        <v>350</v>
      </c>
      <c r="H51" s="143">
        <v>24</v>
      </c>
      <c r="I51" s="143"/>
      <c r="J51" s="143"/>
      <c r="K51" s="145"/>
      <c r="L51" s="128"/>
      <c r="M51" s="128">
        <f>ROUND(E51*0.5%,0)</f>
        <v>42</v>
      </c>
      <c r="N51" s="128"/>
      <c r="O51" s="124">
        <f t="shared" si="1"/>
        <v>8358</v>
      </c>
      <c r="P51" s="128">
        <f>ROUND(E51*3%,0)</f>
        <v>252</v>
      </c>
      <c r="Q51" s="146"/>
    </row>
    <row r="52" spans="1:17" s="86" customFormat="1" ht="25.5" customHeight="1" thickBot="1">
      <c r="A52" s="402" t="s">
        <v>103</v>
      </c>
      <c r="B52" s="402"/>
      <c r="C52" s="402"/>
      <c r="D52" s="402"/>
      <c r="E52" s="89">
        <f>SUM(E7:E51)</f>
        <v>724490</v>
      </c>
      <c r="F52" s="87"/>
      <c r="G52" s="87"/>
      <c r="H52" s="87"/>
      <c r="I52" s="87"/>
      <c r="J52" s="87"/>
      <c r="K52" s="87"/>
      <c r="L52" s="87"/>
      <c r="M52" s="89">
        <f>SUM(M7:M51)</f>
        <v>2827</v>
      </c>
      <c r="N52" s="89">
        <f>SUM(N7:N51)</f>
        <v>7677</v>
      </c>
      <c r="O52" s="89">
        <f>SUM(O7:O51)</f>
        <v>713986</v>
      </c>
      <c r="P52" s="90">
        <f>SUM(P7:P51)</f>
        <v>16967</v>
      </c>
      <c r="Q52" s="88"/>
    </row>
    <row r="53" spans="1:17" ht="20.25" customHeight="1" thickTop="1" thickBot="1">
      <c r="A53" s="119"/>
      <c r="B53" s="3"/>
      <c r="C53" s="3"/>
      <c r="D53" s="3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Q53" s="5"/>
    </row>
    <row r="54" spans="1:17" ht="20.25" customHeight="1" thickBot="1">
      <c r="A54" s="119"/>
      <c r="B54" s="50" t="s">
        <v>12</v>
      </c>
      <c r="C54" s="3"/>
      <c r="D54" s="3"/>
      <c r="E54" s="39"/>
      <c r="F54" s="156" t="s">
        <v>145</v>
      </c>
      <c r="G54" s="39"/>
      <c r="H54" s="39"/>
      <c r="I54" s="39"/>
      <c r="J54" s="39"/>
      <c r="K54" s="39"/>
      <c r="L54" s="39"/>
      <c r="M54" s="39"/>
      <c r="N54" s="39"/>
      <c r="O54" s="39"/>
      <c r="Q54" s="5"/>
    </row>
    <row r="55" spans="1:17" ht="20.25" customHeight="1">
      <c r="A55" s="119"/>
      <c r="B55" s="52" t="s">
        <v>104</v>
      </c>
      <c r="C55" s="149">
        <v>0</v>
      </c>
      <c r="D55" s="54" t="s">
        <v>142</v>
      </c>
      <c r="E55" s="55"/>
      <c r="F55" s="62" t="s">
        <v>141</v>
      </c>
      <c r="G55" s="63">
        <v>14</v>
      </c>
      <c r="H55" s="64" t="s">
        <v>142</v>
      </c>
      <c r="I55" s="148"/>
      <c r="J55" s="148"/>
      <c r="K55" s="66"/>
      <c r="L55" s="66"/>
      <c r="M55" s="45"/>
      <c r="N55" s="93"/>
      <c r="O55" s="3"/>
      <c r="Q55" s="5"/>
    </row>
    <row r="56" spans="1:17" ht="20.25" customHeight="1">
      <c r="A56" s="119"/>
      <c r="B56" s="56"/>
      <c r="C56" s="150"/>
      <c r="D56" s="47"/>
      <c r="E56" s="57"/>
      <c r="F56" s="65" t="s">
        <v>144</v>
      </c>
      <c r="G56" s="66">
        <v>31</v>
      </c>
      <c r="H56" s="67" t="s">
        <v>142</v>
      </c>
      <c r="I56" s="148"/>
      <c r="J56" s="148"/>
      <c r="K56" s="66"/>
      <c r="L56" s="66"/>
      <c r="M56" s="3"/>
      <c r="N56" s="93"/>
      <c r="O56" s="3"/>
      <c r="Q56" s="5"/>
    </row>
    <row r="57" spans="1:17" ht="21.75" customHeight="1" thickBot="1">
      <c r="A57" s="119"/>
      <c r="B57" s="58" t="s">
        <v>137</v>
      </c>
      <c r="C57" s="151">
        <v>0</v>
      </c>
      <c r="D57" s="60" t="s">
        <v>142</v>
      </c>
      <c r="E57" s="61"/>
      <c r="F57" s="68" t="s">
        <v>147</v>
      </c>
      <c r="G57" s="69">
        <f>SUM(G55:G56)</f>
        <v>45</v>
      </c>
      <c r="H57" s="155" t="s">
        <v>142</v>
      </c>
      <c r="I57" s="154"/>
      <c r="J57" s="154"/>
      <c r="K57" s="154"/>
      <c r="L57" s="154"/>
    </row>
  </sheetData>
  <mergeCells count="16">
    <mergeCell ref="A52:D52"/>
    <mergeCell ref="A5:A6"/>
    <mergeCell ref="B5:B6"/>
    <mergeCell ref="C5:C6"/>
    <mergeCell ref="D5:D6"/>
    <mergeCell ref="A1:Q1"/>
    <mergeCell ref="A2:Q2"/>
    <mergeCell ref="A3:Q3"/>
    <mergeCell ref="Q5:Q6"/>
    <mergeCell ref="P5:P6"/>
    <mergeCell ref="E5:E6"/>
    <mergeCell ref="F5:F6"/>
    <mergeCell ref="G5:H5"/>
    <mergeCell ref="K5:N5"/>
    <mergeCell ref="I5:J5"/>
    <mergeCell ref="O5:O6"/>
  </mergeCells>
  <printOptions horizontalCentered="1"/>
  <pageMargins left="0.23622047244094491" right="0.23622047244094491" top="0.74803149606299213" bottom="0.13" header="0.31496062992125984" footer="0.31496062992125984"/>
  <pageSetup paperSize="9" scale="66" orientation="landscape" horizontalDpi="4294967293" r:id="rId1"/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45C7-51BD-4CD7-8842-70937A71A09D}">
  <dimension ref="A1:R62"/>
  <sheetViews>
    <sheetView view="pageBreakPreview" zoomScaleNormal="90" zoomScaleSheetLayoutView="100" workbookViewId="0">
      <pane xSplit="6" ySplit="6" topLeftCell="G56" activePane="bottomRight" state="frozen"/>
      <selection pane="topRight" activeCell="G1" sqref="G1"/>
      <selection pane="bottomLeft" activeCell="A7" sqref="A7"/>
      <selection pane="bottomRight" activeCell="G59" sqref="G59:H62"/>
    </sheetView>
  </sheetViews>
  <sheetFormatPr defaultColWidth="9" defaultRowHeight="21.75"/>
  <cols>
    <col min="1" max="1" width="9" style="120"/>
    <col min="2" max="3" width="22.7109375" style="1" customWidth="1"/>
    <col min="4" max="5" width="17.5703125" style="1" customWidth="1"/>
    <col min="6" max="6" width="12.42578125" style="1" bestFit="1" customWidth="1"/>
    <col min="7" max="7" width="15" style="1" bestFit="1" customWidth="1"/>
    <col min="8" max="8" width="11.42578125" style="1" bestFit="1" customWidth="1"/>
    <col min="9" max="9" width="7.85546875" style="1" bestFit="1" customWidth="1"/>
    <col min="10" max="10" width="4" style="1" hidden="1" customWidth="1"/>
    <col min="11" max="11" width="7" style="1" hidden="1" customWidth="1"/>
    <col min="12" max="12" width="6.7109375" style="1" hidden="1" customWidth="1"/>
    <col min="13" max="13" width="5.5703125" style="1" hidden="1" customWidth="1"/>
    <col min="14" max="14" width="15.42578125" style="1" bestFit="1" customWidth="1"/>
    <col min="15" max="15" width="8.42578125" style="94" bestFit="1" customWidth="1"/>
    <col min="16" max="16" width="10.5703125" style="1" bestFit="1" customWidth="1"/>
    <col min="17" max="17" width="12.42578125" style="76" bestFit="1" customWidth="1"/>
    <col min="18" max="18" width="11.140625" style="1" customWidth="1"/>
    <col min="19" max="16384" width="9" style="1"/>
  </cols>
  <sheetData>
    <row r="1" spans="1:18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 ht="20.25" customHeight="1">
      <c r="A3" s="381" t="s">
        <v>151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11.25" customHeight="1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92"/>
      <c r="P4" s="9"/>
      <c r="R4" s="9"/>
    </row>
    <row r="5" spans="1:18" ht="20.25" customHeight="1">
      <c r="A5" s="414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09" t="s">
        <v>149</v>
      </c>
      <c r="R5" s="407" t="s">
        <v>12</v>
      </c>
    </row>
    <row r="6" spans="1:18" ht="27" customHeight="1" thickBot="1">
      <c r="A6" s="415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136</v>
      </c>
      <c r="O6" s="91" t="s">
        <v>150</v>
      </c>
      <c r="P6" s="396"/>
      <c r="Q6" s="410"/>
      <c r="R6" s="408"/>
    </row>
    <row r="7" spans="1:18" s="200" customFormat="1" ht="20.25" customHeight="1">
      <c r="A7" s="235">
        <v>1</v>
      </c>
      <c r="B7" s="196" t="s">
        <v>20</v>
      </c>
      <c r="C7" s="199" t="s">
        <v>21</v>
      </c>
      <c r="D7" s="199" t="s">
        <v>22</v>
      </c>
      <c r="E7" s="199" t="s">
        <v>168</v>
      </c>
      <c r="F7" s="198">
        <v>14600</v>
      </c>
      <c r="G7" s="199"/>
      <c r="H7" s="199"/>
      <c r="I7" s="199"/>
      <c r="J7" s="107"/>
      <c r="K7" s="107"/>
      <c r="L7" s="109"/>
      <c r="M7" s="103"/>
      <c r="N7" s="198">
        <f>ROUND(F7*0.5%,0)</f>
        <v>73</v>
      </c>
      <c r="O7" s="198"/>
      <c r="P7" s="198">
        <f>SUM(F7-N7-O7)</f>
        <v>14527</v>
      </c>
      <c r="Q7" s="236">
        <f>ROUND(F7*3%,0)</f>
        <v>438</v>
      </c>
      <c r="R7" s="237"/>
    </row>
    <row r="8" spans="1:18" s="194" customFormat="1" ht="20.25" customHeight="1">
      <c r="A8" s="255">
        <v>2</v>
      </c>
      <c r="B8" s="192" t="s">
        <v>23</v>
      </c>
      <c r="C8" s="191" t="s">
        <v>24</v>
      </c>
      <c r="D8" s="191" t="s">
        <v>19</v>
      </c>
      <c r="E8" s="191" t="s">
        <v>169</v>
      </c>
      <c r="F8" s="193">
        <v>13500</v>
      </c>
      <c r="G8" s="191"/>
      <c r="H8" s="191"/>
      <c r="I8" s="191"/>
      <c r="J8" s="107"/>
      <c r="K8" s="107"/>
      <c r="L8" s="109"/>
      <c r="M8" s="103"/>
      <c r="N8" s="193">
        <f t="shared" ref="N8:N49" si="0">ROUND(F8*0.5%,0)</f>
        <v>68</v>
      </c>
      <c r="O8" s="193"/>
      <c r="P8" s="193">
        <f t="shared" ref="P8:P51" si="1">SUM(F8-N8-O8)</f>
        <v>13432</v>
      </c>
      <c r="Q8" s="256">
        <f>ROUND(F8*3%,0)</f>
        <v>405</v>
      </c>
      <c r="R8" s="257"/>
    </row>
    <row r="9" spans="1:18" s="194" customFormat="1" ht="20.25" customHeight="1">
      <c r="A9" s="255">
        <v>3</v>
      </c>
      <c r="B9" s="192" t="s">
        <v>25</v>
      </c>
      <c r="C9" s="191" t="s">
        <v>26</v>
      </c>
      <c r="D9" s="191" t="s">
        <v>27</v>
      </c>
      <c r="E9" s="191" t="s">
        <v>169</v>
      </c>
      <c r="F9" s="193">
        <v>13400</v>
      </c>
      <c r="G9" s="191"/>
      <c r="H9" s="191"/>
      <c r="I9" s="191"/>
      <c r="J9" s="107"/>
      <c r="K9" s="107"/>
      <c r="L9" s="109"/>
      <c r="M9" s="103"/>
      <c r="N9" s="193">
        <f t="shared" si="0"/>
        <v>67</v>
      </c>
      <c r="O9" s="193"/>
      <c r="P9" s="193">
        <f t="shared" si="1"/>
        <v>13333</v>
      </c>
      <c r="Q9" s="256">
        <f>ROUND(F9*3%,0)</f>
        <v>402</v>
      </c>
      <c r="R9" s="257"/>
    </row>
    <row r="10" spans="1:18" s="194" customFormat="1" ht="20.25" customHeight="1">
      <c r="A10" s="255">
        <v>4</v>
      </c>
      <c r="B10" s="192" t="s">
        <v>30</v>
      </c>
      <c r="C10" s="191" t="s">
        <v>31</v>
      </c>
      <c r="D10" s="191" t="s">
        <v>32</v>
      </c>
      <c r="E10" s="191" t="s">
        <v>169</v>
      </c>
      <c r="F10" s="193">
        <v>16500</v>
      </c>
      <c r="G10" s="191"/>
      <c r="H10" s="191"/>
      <c r="I10" s="191"/>
      <c r="J10" s="107"/>
      <c r="K10" s="107"/>
      <c r="L10" s="109"/>
      <c r="M10" s="103"/>
      <c r="N10" s="193">
        <v>75</v>
      </c>
      <c r="O10" s="193">
        <v>1785</v>
      </c>
      <c r="P10" s="193">
        <f t="shared" si="1"/>
        <v>14640</v>
      </c>
      <c r="Q10" s="232">
        <v>450</v>
      </c>
      <c r="R10" s="257"/>
    </row>
    <row r="11" spans="1:18" s="194" customFormat="1" ht="20.25" customHeight="1">
      <c r="A11" s="255">
        <v>5</v>
      </c>
      <c r="B11" s="192" t="s">
        <v>33</v>
      </c>
      <c r="C11" s="191" t="s">
        <v>34</v>
      </c>
      <c r="D11" s="191" t="s">
        <v>32</v>
      </c>
      <c r="E11" s="191" t="s">
        <v>169</v>
      </c>
      <c r="F11" s="193">
        <v>17300</v>
      </c>
      <c r="G11" s="191"/>
      <c r="H11" s="191"/>
      <c r="I11" s="191"/>
      <c r="J11" s="107"/>
      <c r="K11" s="107"/>
      <c r="L11" s="109"/>
      <c r="M11" s="103"/>
      <c r="N11" s="193">
        <v>75</v>
      </c>
      <c r="O11" s="193"/>
      <c r="P11" s="193">
        <f t="shared" si="1"/>
        <v>17225</v>
      </c>
      <c r="Q11" s="232">
        <v>450</v>
      </c>
      <c r="R11" s="257"/>
    </row>
    <row r="12" spans="1:18" s="200" customFormat="1" ht="20.25" customHeight="1">
      <c r="A12" s="235">
        <v>6</v>
      </c>
      <c r="B12" s="196" t="s">
        <v>35</v>
      </c>
      <c r="C12" s="199" t="s">
        <v>36</v>
      </c>
      <c r="D12" s="199" t="s">
        <v>37</v>
      </c>
      <c r="E12" s="199" t="s">
        <v>168</v>
      </c>
      <c r="F12" s="198">
        <v>19000</v>
      </c>
      <c r="G12" s="199"/>
      <c r="H12" s="199"/>
      <c r="I12" s="199"/>
      <c r="J12" s="107"/>
      <c r="K12" s="107"/>
      <c r="L12" s="109"/>
      <c r="M12" s="103"/>
      <c r="N12" s="198">
        <v>75</v>
      </c>
      <c r="O12" s="198"/>
      <c r="P12" s="198">
        <f t="shared" si="1"/>
        <v>18925</v>
      </c>
      <c r="Q12" s="226">
        <v>450</v>
      </c>
      <c r="R12" s="238"/>
    </row>
    <row r="13" spans="1:18" s="194" customFormat="1" ht="20.25" customHeight="1">
      <c r="A13" s="255">
        <v>7</v>
      </c>
      <c r="B13" s="192" t="s">
        <v>38</v>
      </c>
      <c r="C13" s="191" t="s">
        <v>39</v>
      </c>
      <c r="D13" s="191" t="s">
        <v>32</v>
      </c>
      <c r="E13" s="191" t="s">
        <v>169</v>
      </c>
      <c r="F13" s="193">
        <v>25000</v>
      </c>
      <c r="G13" s="191"/>
      <c r="H13" s="191"/>
      <c r="I13" s="191"/>
      <c r="J13" s="107"/>
      <c r="K13" s="107"/>
      <c r="L13" s="109"/>
      <c r="M13" s="103"/>
      <c r="N13" s="193">
        <v>75</v>
      </c>
      <c r="O13" s="193">
        <v>4076</v>
      </c>
      <c r="P13" s="193">
        <f t="shared" si="1"/>
        <v>20849</v>
      </c>
      <c r="Q13" s="232">
        <v>450</v>
      </c>
      <c r="R13" s="257"/>
    </row>
    <row r="14" spans="1:18" s="194" customFormat="1" ht="20.25" customHeight="1">
      <c r="A14" s="255">
        <v>8</v>
      </c>
      <c r="B14" s="192" t="s">
        <v>40</v>
      </c>
      <c r="C14" s="191" t="s">
        <v>41</v>
      </c>
      <c r="D14" s="191" t="s">
        <v>32</v>
      </c>
      <c r="E14" s="191" t="s">
        <v>169</v>
      </c>
      <c r="F14" s="193">
        <v>20500</v>
      </c>
      <c r="G14" s="191"/>
      <c r="H14" s="191"/>
      <c r="I14" s="191"/>
      <c r="J14" s="107"/>
      <c r="K14" s="107"/>
      <c r="L14" s="109"/>
      <c r="M14" s="103"/>
      <c r="N14" s="193">
        <v>75</v>
      </c>
      <c r="O14" s="193">
        <v>1816</v>
      </c>
      <c r="P14" s="193">
        <f t="shared" si="1"/>
        <v>18609</v>
      </c>
      <c r="Q14" s="232">
        <v>450</v>
      </c>
      <c r="R14" s="257"/>
    </row>
    <row r="15" spans="1:18" s="200" customFormat="1" ht="20.25" customHeight="1">
      <c r="A15" s="235">
        <v>9</v>
      </c>
      <c r="B15" s="196" t="s">
        <v>42</v>
      </c>
      <c r="C15" s="199" t="s">
        <v>43</v>
      </c>
      <c r="D15" s="199" t="s">
        <v>44</v>
      </c>
      <c r="E15" s="199" t="s">
        <v>168</v>
      </c>
      <c r="F15" s="198">
        <v>25000</v>
      </c>
      <c r="G15" s="199"/>
      <c r="H15" s="199"/>
      <c r="I15" s="199"/>
      <c r="J15" s="107"/>
      <c r="K15" s="107"/>
      <c r="L15" s="109"/>
      <c r="M15" s="103"/>
      <c r="N15" s="198">
        <v>75</v>
      </c>
      <c r="O15" s="198"/>
      <c r="P15" s="198">
        <f t="shared" si="1"/>
        <v>24925</v>
      </c>
      <c r="Q15" s="226">
        <v>450</v>
      </c>
      <c r="R15" s="238"/>
    </row>
    <row r="16" spans="1:18" s="200" customFormat="1" ht="20.25" customHeight="1">
      <c r="A16" s="235">
        <v>10</v>
      </c>
      <c r="B16" s="196" t="s">
        <v>45</v>
      </c>
      <c r="C16" s="199" t="s">
        <v>46</v>
      </c>
      <c r="D16" s="199" t="s">
        <v>44</v>
      </c>
      <c r="E16" s="199" t="s">
        <v>168</v>
      </c>
      <c r="F16" s="198">
        <v>19700</v>
      </c>
      <c r="G16" s="199"/>
      <c r="H16" s="199"/>
      <c r="I16" s="199"/>
      <c r="J16" s="107"/>
      <c r="K16" s="107"/>
      <c r="L16" s="109"/>
      <c r="M16" s="103"/>
      <c r="N16" s="198">
        <v>75</v>
      </c>
      <c r="O16" s="198"/>
      <c r="P16" s="198">
        <f t="shared" si="1"/>
        <v>19625</v>
      </c>
      <c r="Q16" s="226">
        <v>450</v>
      </c>
      <c r="R16" s="238"/>
    </row>
    <row r="17" spans="1:18" s="200" customFormat="1" ht="20.25" customHeight="1">
      <c r="A17" s="235">
        <v>11</v>
      </c>
      <c r="B17" s="196" t="s">
        <v>47</v>
      </c>
      <c r="C17" s="199" t="s">
        <v>48</v>
      </c>
      <c r="D17" s="199" t="s">
        <v>44</v>
      </c>
      <c r="E17" s="199" t="s">
        <v>168</v>
      </c>
      <c r="F17" s="198">
        <v>17600</v>
      </c>
      <c r="G17" s="199"/>
      <c r="H17" s="199"/>
      <c r="I17" s="199"/>
      <c r="J17" s="107"/>
      <c r="K17" s="107"/>
      <c r="L17" s="109"/>
      <c r="M17" s="103"/>
      <c r="N17" s="198">
        <v>75</v>
      </c>
      <c r="O17" s="198"/>
      <c r="P17" s="198">
        <f t="shared" si="1"/>
        <v>17525</v>
      </c>
      <c r="Q17" s="226">
        <v>450</v>
      </c>
      <c r="R17" s="238"/>
    </row>
    <row r="18" spans="1:18" s="200" customFormat="1" ht="20.25" customHeight="1">
      <c r="A18" s="235">
        <v>12</v>
      </c>
      <c r="B18" s="196" t="s">
        <v>49</v>
      </c>
      <c r="C18" s="199" t="s">
        <v>50</v>
      </c>
      <c r="D18" s="199" t="s">
        <v>37</v>
      </c>
      <c r="E18" s="199" t="s">
        <v>168</v>
      </c>
      <c r="F18" s="198">
        <v>25000</v>
      </c>
      <c r="G18" s="199"/>
      <c r="H18" s="199"/>
      <c r="I18" s="199"/>
      <c r="J18" s="107"/>
      <c r="K18" s="107"/>
      <c r="L18" s="109"/>
      <c r="M18" s="103"/>
      <c r="N18" s="198">
        <v>75</v>
      </c>
      <c r="O18" s="198"/>
      <c r="P18" s="198">
        <f t="shared" si="1"/>
        <v>24925</v>
      </c>
      <c r="Q18" s="226">
        <v>450</v>
      </c>
      <c r="R18" s="238"/>
    </row>
    <row r="19" spans="1:18" s="200" customFormat="1" ht="20.25" customHeight="1">
      <c r="A19" s="235">
        <v>13</v>
      </c>
      <c r="B19" s="196" t="s">
        <v>51</v>
      </c>
      <c r="C19" s="199" t="s">
        <v>52</v>
      </c>
      <c r="D19" s="199" t="s">
        <v>44</v>
      </c>
      <c r="E19" s="199" t="s">
        <v>168</v>
      </c>
      <c r="F19" s="198">
        <v>22700</v>
      </c>
      <c r="G19" s="199"/>
      <c r="H19" s="199"/>
      <c r="I19" s="199"/>
      <c r="J19" s="107"/>
      <c r="K19" s="107"/>
      <c r="L19" s="109"/>
      <c r="M19" s="103"/>
      <c r="N19" s="198">
        <v>75</v>
      </c>
      <c r="O19" s="198"/>
      <c r="P19" s="198">
        <f t="shared" si="1"/>
        <v>22625</v>
      </c>
      <c r="Q19" s="226">
        <v>450</v>
      </c>
      <c r="R19" s="238"/>
    </row>
    <row r="20" spans="1:18" s="194" customFormat="1" ht="20.25" customHeight="1">
      <c r="A20" s="255">
        <v>14</v>
      </c>
      <c r="B20" s="192" t="s">
        <v>53</v>
      </c>
      <c r="C20" s="191" t="s">
        <v>54</v>
      </c>
      <c r="D20" s="191" t="s">
        <v>55</v>
      </c>
      <c r="E20" s="191" t="s">
        <v>169</v>
      </c>
      <c r="F20" s="193">
        <v>23500</v>
      </c>
      <c r="G20" s="191"/>
      <c r="H20" s="191"/>
      <c r="I20" s="191"/>
      <c r="J20" s="107"/>
      <c r="K20" s="107"/>
      <c r="L20" s="109"/>
      <c r="M20" s="103"/>
      <c r="N20" s="193">
        <v>75</v>
      </c>
      <c r="O20" s="193"/>
      <c r="P20" s="193">
        <f t="shared" si="1"/>
        <v>23425</v>
      </c>
      <c r="Q20" s="232">
        <v>450</v>
      </c>
      <c r="R20" s="257"/>
    </row>
    <row r="21" spans="1:18" s="194" customFormat="1" ht="20.25" customHeight="1">
      <c r="A21" s="255">
        <v>15</v>
      </c>
      <c r="B21" s="192" t="s">
        <v>56</v>
      </c>
      <c r="C21" s="191" t="s">
        <v>57</v>
      </c>
      <c r="D21" s="191" t="s">
        <v>58</v>
      </c>
      <c r="E21" s="191" t="s">
        <v>169</v>
      </c>
      <c r="F21" s="193">
        <v>25000</v>
      </c>
      <c r="G21" s="191"/>
      <c r="H21" s="191"/>
      <c r="I21" s="191"/>
      <c r="J21" s="107"/>
      <c r="K21" s="107"/>
      <c r="L21" s="109"/>
      <c r="M21" s="103"/>
      <c r="N21" s="193">
        <v>75</v>
      </c>
      <c r="O21" s="193"/>
      <c r="P21" s="193">
        <f t="shared" si="1"/>
        <v>24925</v>
      </c>
      <c r="Q21" s="232">
        <v>450</v>
      </c>
      <c r="R21" s="257"/>
    </row>
    <row r="22" spans="1:18" s="200" customFormat="1" ht="20.25" customHeight="1">
      <c r="A22" s="235">
        <v>16</v>
      </c>
      <c r="B22" s="196" t="s">
        <v>60</v>
      </c>
      <c r="C22" s="199" t="s">
        <v>61</v>
      </c>
      <c r="D22" s="199" t="s">
        <v>44</v>
      </c>
      <c r="E22" s="199" t="s">
        <v>168</v>
      </c>
      <c r="F22" s="198">
        <v>25000</v>
      </c>
      <c r="G22" s="199"/>
      <c r="H22" s="199"/>
      <c r="I22" s="199"/>
      <c r="J22" s="107"/>
      <c r="K22" s="107"/>
      <c r="L22" s="109"/>
      <c r="M22" s="103"/>
      <c r="N22" s="198">
        <v>75</v>
      </c>
      <c r="O22" s="198"/>
      <c r="P22" s="198">
        <f t="shared" si="1"/>
        <v>24925</v>
      </c>
      <c r="Q22" s="226">
        <v>450</v>
      </c>
      <c r="R22" s="238"/>
    </row>
    <row r="23" spans="1:18" s="200" customFormat="1" ht="20.25" customHeight="1">
      <c r="A23" s="235">
        <v>17</v>
      </c>
      <c r="B23" s="196" t="s">
        <v>62</v>
      </c>
      <c r="C23" s="199" t="s">
        <v>63</v>
      </c>
      <c r="D23" s="199" t="s">
        <v>44</v>
      </c>
      <c r="E23" s="199" t="s">
        <v>168</v>
      </c>
      <c r="F23" s="198">
        <v>25000</v>
      </c>
      <c r="G23" s="199"/>
      <c r="H23" s="199"/>
      <c r="I23" s="199"/>
      <c r="J23" s="107"/>
      <c r="K23" s="107"/>
      <c r="L23" s="109"/>
      <c r="M23" s="103"/>
      <c r="N23" s="198">
        <v>75</v>
      </c>
      <c r="O23" s="198"/>
      <c r="P23" s="198">
        <f t="shared" si="1"/>
        <v>24925</v>
      </c>
      <c r="Q23" s="226">
        <v>450</v>
      </c>
      <c r="R23" s="238"/>
    </row>
    <row r="24" spans="1:18" s="200" customFormat="1" ht="20.25" customHeight="1">
      <c r="A24" s="235">
        <v>18</v>
      </c>
      <c r="B24" s="196" t="s">
        <v>64</v>
      </c>
      <c r="C24" s="199" t="s">
        <v>65</v>
      </c>
      <c r="D24" s="199" t="s">
        <v>44</v>
      </c>
      <c r="E24" s="199" t="s">
        <v>168</v>
      </c>
      <c r="F24" s="198">
        <v>25000</v>
      </c>
      <c r="G24" s="199"/>
      <c r="H24" s="199"/>
      <c r="I24" s="199"/>
      <c r="J24" s="107"/>
      <c r="K24" s="107"/>
      <c r="L24" s="109"/>
      <c r="M24" s="103"/>
      <c r="N24" s="198">
        <v>75</v>
      </c>
      <c r="O24" s="198"/>
      <c r="P24" s="198">
        <f t="shared" si="1"/>
        <v>24925</v>
      </c>
      <c r="Q24" s="226">
        <v>450</v>
      </c>
      <c r="R24" s="238"/>
    </row>
    <row r="25" spans="1:18" s="200" customFormat="1" ht="20.25" customHeight="1">
      <c r="A25" s="235">
        <v>19</v>
      </c>
      <c r="B25" s="196" t="s">
        <v>66</v>
      </c>
      <c r="C25" s="199" t="s">
        <v>67</v>
      </c>
      <c r="D25" s="199" t="s">
        <v>44</v>
      </c>
      <c r="E25" s="199" t="s">
        <v>168</v>
      </c>
      <c r="F25" s="198">
        <v>25000</v>
      </c>
      <c r="G25" s="199"/>
      <c r="H25" s="199"/>
      <c r="I25" s="199"/>
      <c r="J25" s="107"/>
      <c r="K25" s="107"/>
      <c r="L25" s="109"/>
      <c r="M25" s="103"/>
      <c r="N25" s="198">
        <v>75</v>
      </c>
      <c r="O25" s="198"/>
      <c r="P25" s="198">
        <f t="shared" si="1"/>
        <v>24925</v>
      </c>
      <c r="Q25" s="226">
        <v>450</v>
      </c>
      <c r="R25" s="238"/>
    </row>
    <row r="26" spans="1:18" s="200" customFormat="1" ht="20.25" customHeight="1">
      <c r="A26" s="235">
        <v>20</v>
      </c>
      <c r="B26" s="196" t="s">
        <v>68</v>
      </c>
      <c r="C26" s="199" t="s">
        <v>69</v>
      </c>
      <c r="D26" s="199" t="s">
        <v>44</v>
      </c>
      <c r="E26" s="199" t="s">
        <v>168</v>
      </c>
      <c r="F26" s="198">
        <v>25000</v>
      </c>
      <c r="G26" s="199"/>
      <c r="H26" s="199"/>
      <c r="I26" s="199"/>
      <c r="J26" s="107"/>
      <c r="K26" s="107"/>
      <c r="L26" s="109"/>
      <c r="M26" s="103"/>
      <c r="N26" s="198">
        <v>75</v>
      </c>
      <c r="O26" s="198"/>
      <c r="P26" s="198">
        <f t="shared" si="1"/>
        <v>24925</v>
      </c>
      <c r="Q26" s="226">
        <v>450</v>
      </c>
      <c r="R26" s="238"/>
    </row>
    <row r="27" spans="1:18" s="200" customFormat="1" ht="20.25" customHeight="1">
      <c r="A27" s="235">
        <v>21</v>
      </c>
      <c r="B27" s="196" t="s">
        <v>70</v>
      </c>
      <c r="C27" s="199" t="s">
        <v>71</v>
      </c>
      <c r="D27" s="199" t="s">
        <v>72</v>
      </c>
      <c r="E27" s="199" t="s">
        <v>168</v>
      </c>
      <c r="F27" s="198">
        <v>8800</v>
      </c>
      <c r="G27" s="199"/>
      <c r="H27" s="199">
        <v>400</v>
      </c>
      <c r="I27" s="199">
        <v>22</v>
      </c>
      <c r="J27" s="123"/>
      <c r="K27" s="123"/>
      <c r="L27" s="126"/>
      <c r="M27" s="124"/>
      <c r="N27" s="198">
        <f t="shared" si="0"/>
        <v>44</v>
      </c>
      <c r="O27" s="198"/>
      <c r="P27" s="198">
        <f t="shared" si="1"/>
        <v>8756</v>
      </c>
      <c r="Q27" s="236">
        <f>ROUND(F27*3%,0)</f>
        <v>264</v>
      </c>
      <c r="R27" s="198"/>
    </row>
    <row r="28" spans="1:18" s="200" customFormat="1" ht="20.25" customHeight="1">
      <c r="A28" s="235">
        <v>22</v>
      </c>
      <c r="B28" s="196" t="s">
        <v>73</v>
      </c>
      <c r="C28" s="199" t="s">
        <v>74</v>
      </c>
      <c r="D28" s="199" t="s">
        <v>72</v>
      </c>
      <c r="E28" s="199" t="s">
        <v>168</v>
      </c>
      <c r="F28" s="198">
        <f>+H28*I28</f>
        <v>8640</v>
      </c>
      <c r="G28" s="199"/>
      <c r="H28" s="199">
        <v>360</v>
      </c>
      <c r="I28" s="199">
        <v>24</v>
      </c>
      <c r="J28" s="123"/>
      <c r="K28" s="123"/>
      <c r="L28" s="126"/>
      <c r="M28" s="124"/>
      <c r="N28" s="198">
        <f t="shared" si="0"/>
        <v>43</v>
      </c>
      <c r="O28" s="198"/>
      <c r="P28" s="198">
        <f t="shared" si="1"/>
        <v>8597</v>
      </c>
      <c r="Q28" s="236">
        <f>ROUND(F28*3%,0)</f>
        <v>259</v>
      </c>
      <c r="R28" s="198"/>
    </row>
    <row r="29" spans="1:18" s="200" customFormat="1" ht="20.25" customHeight="1">
      <c r="A29" s="235">
        <v>23</v>
      </c>
      <c r="B29" s="196" t="s">
        <v>75</v>
      </c>
      <c r="C29" s="199" t="s">
        <v>76</v>
      </c>
      <c r="D29" s="199" t="s">
        <v>44</v>
      </c>
      <c r="E29" s="199" t="s">
        <v>168</v>
      </c>
      <c r="F29" s="198">
        <v>25000</v>
      </c>
      <c r="G29" s="199"/>
      <c r="H29" s="199"/>
      <c r="I29" s="199"/>
      <c r="J29" s="107"/>
      <c r="K29" s="107"/>
      <c r="L29" s="109"/>
      <c r="M29" s="103"/>
      <c r="N29" s="198">
        <v>75</v>
      </c>
      <c r="O29" s="198"/>
      <c r="P29" s="198">
        <f t="shared" si="1"/>
        <v>24925</v>
      </c>
      <c r="Q29" s="226">
        <v>450</v>
      </c>
      <c r="R29" s="238"/>
    </row>
    <row r="30" spans="1:18" s="194" customFormat="1" ht="20.25" customHeight="1">
      <c r="A30" s="255">
        <v>24</v>
      </c>
      <c r="B30" s="192" t="s">
        <v>77</v>
      </c>
      <c r="C30" s="191" t="s">
        <v>78</v>
      </c>
      <c r="D30" s="191" t="s">
        <v>79</v>
      </c>
      <c r="E30" s="191" t="s">
        <v>169</v>
      </c>
      <c r="F30" s="193">
        <v>15500</v>
      </c>
      <c r="G30" s="258" t="s">
        <v>80</v>
      </c>
      <c r="H30" s="191"/>
      <c r="I30" s="191"/>
      <c r="J30" s="107"/>
      <c r="K30" s="107"/>
      <c r="L30" s="109"/>
      <c r="M30" s="103"/>
      <c r="N30" s="193">
        <v>75</v>
      </c>
      <c r="O30" s="193"/>
      <c r="P30" s="193">
        <f t="shared" si="1"/>
        <v>15425</v>
      </c>
      <c r="Q30" s="232">
        <v>450</v>
      </c>
      <c r="R30" s="257"/>
    </row>
    <row r="31" spans="1:18" s="262" customFormat="1" ht="20.25" customHeight="1">
      <c r="A31" s="255">
        <v>25</v>
      </c>
      <c r="B31" s="259" t="s">
        <v>84</v>
      </c>
      <c r="C31" s="260" t="s">
        <v>85</v>
      </c>
      <c r="D31" s="260" t="s">
        <v>32</v>
      </c>
      <c r="E31" s="260" t="s">
        <v>169</v>
      </c>
      <c r="F31" s="261">
        <v>15500</v>
      </c>
      <c r="G31" s="258" t="s">
        <v>83</v>
      </c>
      <c r="H31" s="260"/>
      <c r="I31" s="260"/>
      <c r="J31" s="95"/>
      <c r="K31" s="95"/>
      <c r="L31" s="109"/>
      <c r="M31" s="103"/>
      <c r="N31" s="193">
        <v>75</v>
      </c>
      <c r="O31" s="193"/>
      <c r="P31" s="193">
        <f t="shared" si="1"/>
        <v>15425</v>
      </c>
      <c r="Q31" s="232">
        <v>450</v>
      </c>
      <c r="R31" s="257"/>
    </row>
    <row r="32" spans="1:18" s="200" customFormat="1" ht="20.25" customHeight="1">
      <c r="A32" s="235">
        <v>26</v>
      </c>
      <c r="B32" s="196" t="s">
        <v>86</v>
      </c>
      <c r="C32" s="199" t="s">
        <v>87</v>
      </c>
      <c r="D32" s="199" t="s">
        <v>44</v>
      </c>
      <c r="E32" s="199" t="s">
        <v>168</v>
      </c>
      <c r="F32" s="198">
        <v>25000</v>
      </c>
      <c r="G32" s="239" t="s">
        <v>88</v>
      </c>
      <c r="H32" s="199"/>
      <c r="I32" s="199"/>
      <c r="J32" s="107"/>
      <c r="K32" s="107"/>
      <c r="L32" s="109"/>
      <c r="M32" s="103"/>
      <c r="N32" s="198">
        <v>75</v>
      </c>
      <c r="O32" s="198"/>
      <c r="P32" s="198">
        <f t="shared" si="1"/>
        <v>24925</v>
      </c>
      <c r="Q32" s="226">
        <v>450</v>
      </c>
      <c r="R32" s="240"/>
    </row>
    <row r="33" spans="1:18" s="200" customFormat="1" ht="20.25" customHeight="1">
      <c r="A33" s="235">
        <v>27</v>
      </c>
      <c r="B33" s="196" t="s">
        <v>89</v>
      </c>
      <c r="C33" s="199" t="s">
        <v>90</v>
      </c>
      <c r="D33" s="199" t="s">
        <v>72</v>
      </c>
      <c r="E33" s="199" t="s">
        <v>168</v>
      </c>
      <c r="F33" s="198">
        <f>+H33*I33</f>
        <v>7600</v>
      </c>
      <c r="G33" s="239" t="s">
        <v>88</v>
      </c>
      <c r="H33" s="199">
        <v>380</v>
      </c>
      <c r="I33" s="199">
        <v>20</v>
      </c>
      <c r="J33" s="123"/>
      <c r="K33" s="123"/>
      <c r="L33" s="126"/>
      <c r="M33" s="124"/>
      <c r="N33" s="198">
        <f t="shared" si="0"/>
        <v>38</v>
      </c>
      <c r="O33" s="198"/>
      <c r="P33" s="198">
        <f t="shared" si="1"/>
        <v>7562</v>
      </c>
      <c r="Q33" s="236">
        <f>ROUND(F33*3%,0)</f>
        <v>228</v>
      </c>
      <c r="R33" s="240"/>
    </row>
    <row r="34" spans="1:18" s="194" customFormat="1" ht="20.25" customHeight="1">
      <c r="A34" s="255">
        <v>28</v>
      </c>
      <c r="B34" s="192" t="s">
        <v>91</v>
      </c>
      <c r="C34" s="191" t="s">
        <v>92</v>
      </c>
      <c r="D34" s="191" t="s">
        <v>32</v>
      </c>
      <c r="E34" s="191" t="s">
        <v>169</v>
      </c>
      <c r="F34" s="193">
        <v>16200</v>
      </c>
      <c r="G34" s="263" t="s">
        <v>93</v>
      </c>
      <c r="H34" s="191"/>
      <c r="I34" s="191"/>
      <c r="J34" s="107"/>
      <c r="K34" s="107"/>
      <c r="L34" s="109"/>
      <c r="M34" s="103"/>
      <c r="N34" s="193">
        <v>75</v>
      </c>
      <c r="O34" s="193"/>
      <c r="P34" s="193">
        <f t="shared" si="1"/>
        <v>16125</v>
      </c>
      <c r="Q34" s="232">
        <v>450</v>
      </c>
      <c r="R34" s="257"/>
    </row>
    <row r="35" spans="1:18" s="200" customFormat="1" ht="20.25" customHeight="1">
      <c r="A35" s="235">
        <v>29</v>
      </c>
      <c r="B35" s="196" t="s">
        <v>94</v>
      </c>
      <c r="C35" s="201">
        <v>6016200526744</v>
      </c>
      <c r="D35" s="199" t="s">
        <v>95</v>
      </c>
      <c r="E35" s="199" t="s">
        <v>168</v>
      </c>
      <c r="F35" s="198">
        <f>H35*I35</f>
        <v>7260</v>
      </c>
      <c r="G35" s="239" t="s">
        <v>96</v>
      </c>
      <c r="H35" s="199">
        <v>330</v>
      </c>
      <c r="I35" s="199">
        <v>22</v>
      </c>
      <c r="J35" s="123"/>
      <c r="K35" s="123"/>
      <c r="L35" s="126"/>
      <c r="M35" s="124"/>
      <c r="N35" s="198">
        <f t="shared" si="0"/>
        <v>36</v>
      </c>
      <c r="O35" s="198"/>
      <c r="P35" s="198">
        <f t="shared" si="1"/>
        <v>7224</v>
      </c>
      <c r="Q35" s="236">
        <f t="shared" ref="Q35:Q42" si="2">ROUND(F35*3%,0)</f>
        <v>218</v>
      </c>
      <c r="R35" s="240"/>
    </row>
    <row r="36" spans="1:18" s="200" customFormat="1" ht="20.25" customHeight="1">
      <c r="A36" s="235">
        <v>30</v>
      </c>
      <c r="B36" s="196" t="s">
        <v>97</v>
      </c>
      <c r="C36" s="201">
        <v>6016200526680</v>
      </c>
      <c r="D36" s="199" t="s">
        <v>95</v>
      </c>
      <c r="E36" s="199" t="s">
        <v>168</v>
      </c>
      <c r="F36" s="198">
        <f t="shared" ref="F36:F42" si="3">H36*I36</f>
        <v>7260</v>
      </c>
      <c r="G36" s="239" t="s">
        <v>96</v>
      </c>
      <c r="H36" s="199">
        <v>330</v>
      </c>
      <c r="I36" s="199">
        <v>22</v>
      </c>
      <c r="J36" s="123"/>
      <c r="K36" s="123"/>
      <c r="L36" s="126"/>
      <c r="M36" s="124"/>
      <c r="N36" s="198">
        <f t="shared" si="0"/>
        <v>36</v>
      </c>
      <c r="O36" s="198"/>
      <c r="P36" s="198">
        <f t="shared" si="1"/>
        <v>7224</v>
      </c>
      <c r="Q36" s="236">
        <f t="shared" si="2"/>
        <v>218</v>
      </c>
      <c r="R36" s="240"/>
    </row>
    <row r="37" spans="1:18" s="200" customFormat="1" ht="20.25" customHeight="1">
      <c r="A37" s="235">
        <v>31</v>
      </c>
      <c r="B37" s="196" t="s">
        <v>98</v>
      </c>
      <c r="C37" s="201">
        <v>6016200526639</v>
      </c>
      <c r="D37" s="199" t="s">
        <v>95</v>
      </c>
      <c r="E37" s="199" t="s">
        <v>168</v>
      </c>
      <c r="F37" s="198">
        <f t="shared" si="3"/>
        <v>7260</v>
      </c>
      <c r="G37" s="239" t="s">
        <v>96</v>
      </c>
      <c r="H37" s="199">
        <v>330</v>
      </c>
      <c r="I37" s="199">
        <v>22</v>
      </c>
      <c r="J37" s="123"/>
      <c r="K37" s="123"/>
      <c r="L37" s="126"/>
      <c r="M37" s="124"/>
      <c r="N37" s="198">
        <f t="shared" si="0"/>
        <v>36</v>
      </c>
      <c r="O37" s="198"/>
      <c r="P37" s="198">
        <f t="shared" si="1"/>
        <v>7224</v>
      </c>
      <c r="Q37" s="236">
        <f t="shared" si="2"/>
        <v>218</v>
      </c>
      <c r="R37" s="198"/>
    </row>
    <row r="38" spans="1:18" s="200" customFormat="1" ht="20.25" customHeight="1">
      <c r="A38" s="235">
        <v>32</v>
      </c>
      <c r="B38" s="196" t="s">
        <v>99</v>
      </c>
      <c r="C38" s="201">
        <v>6016200526591</v>
      </c>
      <c r="D38" s="199" t="s">
        <v>95</v>
      </c>
      <c r="E38" s="199" t="s">
        <v>168</v>
      </c>
      <c r="F38" s="198">
        <f t="shared" si="3"/>
        <v>7920</v>
      </c>
      <c r="G38" s="239" t="s">
        <v>96</v>
      </c>
      <c r="H38" s="199">
        <v>330</v>
      </c>
      <c r="I38" s="199">
        <v>24</v>
      </c>
      <c r="J38" s="123"/>
      <c r="K38" s="123"/>
      <c r="L38" s="126"/>
      <c r="M38" s="124"/>
      <c r="N38" s="198">
        <f t="shared" si="0"/>
        <v>40</v>
      </c>
      <c r="O38" s="198"/>
      <c r="P38" s="198">
        <f t="shared" si="1"/>
        <v>7880</v>
      </c>
      <c r="Q38" s="236">
        <f t="shared" si="2"/>
        <v>238</v>
      </c>
      <c r="R38" s="198"/>
    </row>
    <row r="39" spans="1:18" s="246" customFormat="1" ht="20.25" customHeight="1">
      <c r="A39" s="235">
        <v>33</v>
      </c>
      <c r="B39" s="241" t="s">
        <v>108</v>
      </c>
      <c r="C39" s="242" t="s">
        <v>109</v>
      </c>
      <c r="D39" s="242" t="s">
        <v>72</v>
      </c>
      <c r="E39" s="242" t="s">
        <v>168</v>
      </c>
      <c r="F39" s="198">
        <f t="shared" si="3"/>
        <v>9600</v>
      </c>
      <c r="G39" s="243" t="s">
        <v>107</v>
      </c>
      <c r="H39" s="242">
        <v>400</v>
      </c>
      <c r="I39" s="242">
        <v>24</v>
      </c>
      <c r="J39" s="132"/>
      <c r="K39" s="132"/>
      <c r="L39" s="134"/>
      <c r="M39" s="135"/>
      <c r="N39" s="198">
        <f t="shared" si="0"/>
        <v>48</v>
      </c>
      <c r="O39" s="198"/>
      <c r="P39" s="198">
        <f t="shared" si="1"/>
        <v>9552</v>
      </c>
      <c r="Q39" s="236">
        <f t="shared" si="2"/>
        <v>288</v>
      </c>
      <c r="R39" s="198"/>
    </row>
    <row r="40" spans="1:18" s="246" customFormat="1" ht="20.25" customHeight="1">
      <c r="A40" s="235">
        <v>34</v>
      </c>
      <c r="B40" s="241" t="s">
        <v>110</v>
      </c>
      <c r="C40" s="244">
        <v>6016300837717</v>
      </c>
      <c r="D40" s="242" t="s">
        <v>95</v>
      </c>
      <c r="E40" s="242" t="s">
        <v>168</v>
      </c>
      <c r="F40" s="198">
        <f t="shared" si="3"/>
        <v>7260</v>
      </c>
      <c r="G40" s="243" t="s">
        <v>111</v>
      </c>
      <c r="H40" s="242">
        <v>330</v>
      </c>
      <c r="I40" s="242">
        <v>22</v>
      </c>
      <c r="J40" s="132"/>
      <c r="K40" s="132"/>
      <c r="L40" s="134"/>
      <c r="M40" s="135"/>
      <c r="N40" s="198">
        <f t="shared" si="0"/>
        <v>36</v>
      </c>
      <c r="O40" s="198"/>
      <c r="P40" s="198">
        <f t="shared" si="1"/>
        <v>7224</v>
      </c>
      <c r="Q40" s="236">
        <f t="shared" si="2"/>
        <v>218</v>
      </c>
      <c r="R40" s="198"/>
    </row>
    <row r="41" spans="1:18" s="246" customFormat="1" ht="20.25" customHeight="1">
      <c r="A41" s="235">
        <v>35</v>
      </c>
      <c r="B41" s="241" t="s">
        <v>112</v>
      </c>
      <c r="C41" s="244">
        <v>6016300837709</v>
      </c>
      <c r="D41" s="242" t="s">
        <v>95</v>
      </c>
      <c r="E41" s="242" t="s">
        <v>168</v>
      </c>
      <c r="F41" s="198">
        <f t="shared" si="3"/>
        <v>7260</v>
      </c>
      <c r="G41" s="243" t="s">
        <v>111</v>
      </c>
      <c r="H41" s="242">
        <v>330</v>
      </c>
      <c r="I41" s="242">
        <v>22</v>
      </c>
      <c r="J41" s="132"/>
      <c r="K41" s="132"/>
      <c r="L41" s="134"/>
      <c r="M41" s="135"/>
      <c r="N41" s="198">
        <f t="shared" si="0"/>
        <v>36</v>
      </c>
      <c r="O41" s="198"/>
      <c r="P41" s="198">
        <f t="shared" si="1"/>
        <v>7224</v>
      </c>
      <c r="Q41" s="236">
        <f t="shared" si="2"/>
        <v>218</v>
      </c>
      <c r="R41" s="198"/>
    </row>
    <row r="42" spans="1:18" s="246" customFormat="1" ht="20.25" customHeight="1">
      <c r="A42" s="235">
        <v>36</v>
      </c>
      <c r="B42" s="241" t="s">
        <v>113</v>
      </c>
      <c r="C42" s="244">
        <v>6016300837750</v>
      </c>
      <c r="D42" s="242" t="s">
        <v>95</v>
      </c>
      <c r="E42" s="242" t="s">
        <v>168</v>
      </c>
      <c r="F42" s="198">
        <f t="shared" si="3"/>
        <v>7920</v>
      </c>
      <c r="G42" s="243" t="s">
        <v>111</v>
      </c>
      <c r="H42" s="242">
        <v>330</v>
      </c>
      <c r="I42" s="242">
        <v>24</v>
      </c>
      <c r="J42" s="132"/>
      <c r="K42" s="132"/>
      <c r="L42" s="134"/>
      <c r="M42" s="135"/>
      <c r="N42" s="198">
        <f t="shared" si="0"/>
        <v>40</v>
      </c>
      <c r="O42" s="198"/>
      <c r="P42" s="198">
        <f t="shared" si="1"/>
        <v>7880</v>
      </c>
      <c r="Q42" s="236">
        <f t="shared" si="2"/>
        <v>238</v>
      </c>
      <c r="R42" s="242"/>
    </row>
    <row r="43" spans="1:18" s="200" customFormat="1" ht="20.25" customHeight="1">
      <c r="A43" s="235">
        <v>37</v>
      </c>
      <c r="B43" s="196" t="s">
        <v>100</v>
      </c>
      <c r="C43" s="201">
        <v>1101500149087</v>
      </c>
      <c r="D43" s="199" t="s">
        <v>44</v>
      </c>
      <c r="E43" s="199" t="s">
        <v>168</v>
      </c>
      <c r="F43" s="198">
        <v>25000</v>
      </c>
      <c r="G43" s="245" t="s">
        <v>101</v>
      </c>
      <c r="H43" s="199"/>
      <c r="I43" s="199"/>
      <c r="J43" s="107"/>
      <c r="K43" s="107"/>
      <c r="L43" s="109"/>
      <c r="M43" s="103"/>
      <c r="N43" s="198">
        <v>75</v>
      </c>
      <c r="O43" s="198"/>
      <c r="P43" s="198">
        <f t="shared" si="1"/>
        <v>24925</v>
      </c>
      <c r="Q43" s="226">
        <v>450</v>
      </c>
      <c r="R43" s="238"/>
    </row>
    <row r="44" spans="1:18" s="200" customFormat="1" ht="20.25" customHeight="1">
      <c r="A44" s="235">
        <v>38</v>
      </c>
      <c r="B44" s="196" t="s">
        <v>102</v>
      </c>
      <c r="C44" s="201">
        <v>220062001228</v>
      </c>
      <c r="D44" s="199" t="s">
        <v>95</v>
      </c>
      <c r="E44" s="199" t="s">
        <v>168</v>
      </c>
      <c r="F44" s="198">
        <f>+H44*I44</f>
        <v>7260</v>
      </c>
      <c r="G44" s="245" t="s">
        <v>106</v>
      </c>
      <c r="H44" s="199">
        <v>330</v>
      </c>
      <c r="I44" s="199">
        <v>22</v>
      </c>
      <c r="J44" s="123"/>
      <c r="K44" s="123"/>
      <c r="L44" s="126"/>
      <c r="M44" s="124"/>
      <c r="N44" s="198">
        <f t="shared" si="0"/>
        <v>36</v>
      </c>
      <c r="O44" s="198"/>
      <c r="P44" s="198">
        <f t="shared" si="1"/>
        <v>7224</v>
      </c>
      <c r="Q44" s="236">
        <f>ROUND(F44*3%,0)</f>
        <v>218</v>
      </c>
      <c r="R44" s="238"/>
    </row>
    <row r="45" spans="1:18" s="266" customFormat="1" ht="20.25" customHeight="1">
      <c r="A45" s="255">
        <v>39</v>
      </c>
      <c r="B45" s="259" t="s">
        <v>114</v>
      </c>
      <c r="C45" s="264">
        <v>1419900221235</v>
      </c>
      <c r="D45" s="260" t="s">
        <v>32</v>
      </c>
      <c r="E45" s="260" t="s">
        <v>169</v>
      </c>
      <c r="F45" s="261">
        <v>12000</v>
      </c>
      <c r="G45" s="265" t="s">
        <v>115</v>
      </c>
      <c r="H45" s="257"/>
      <c r="I45" s="257"/>
      <c r="J45" s="100"/>
      <c r="K45" s="100"/>
      <c r="L45" s="101"/>
      <c r="M45" s="102"/>
      <c r="N45" s="193">
        <f t="shared" si="0"/>
        <v>60</v>
      </c>
      <c r="O45" s="193"/>
      <c r="P45" s="193">
        <f t="shared" si="1"/>
        <v>11940</v>
      </c>
      <c r="Q45" s="256">
        <f>ROUND(F45*3%,0)</f>
        <v>360</v>
      </c>
      <c r="R45" s="257"/>
    </row>
    <row r="46" spans="1:18" s="246" customFormat="1" ht="20.25" customHeight="1">
      <c r="A46" s="235">
        <v>40</v>
      </c>
      <c r="B46" s="247" t="s">
        <v>118</v>
      </c>
      <c r="C46" s="244">
        <v>1229900643638</v>
      </c>
      <c r="D46" s="242" t="s">
        <v>44</v>
      </c>
      <c r="E46" s="242" t="s">
        <v>168</v>
      </c>
      <c r="F46" s="248">
        <v>15000</v>
      </c>
      <c r="G46" s="243" t="s">
        <v>119</v>
      </c>
      <c r="H46" s="242"/>
      <c r="I46" s="242"/>
      <c r="J46" s="95"/>
      <c r="K46" s="95"/>
      <c r="L46" s="115"/>
      <c r="M46" s="98"/>
      <c r="N46" s="248">
        <f t="shared" si="0"/>
        <v>75</v>
      </c>
      <c r="O46" s="248"/>
      <c r="P46" s="198">
        <f t="shared" si="1"/>
        <v>14925</v>
      </c>
      <c r="Q46" s="226">
        <f t="shared" ref="Q46:Q49" si="4">+F46*3/100</f>
        <v>450</v>
      </c>
      <c r="R46" s="242"/>
    </row>
    <row r="47" spans="1:18" s="246" customFormat="1" ht="20.25" customHeight="1">
      <c r="A47" s="235">
        <v>41</v>
      </c>
      <c r="B47" s="247" t="s">
        <v>120</v>
      </c>
      <c r="C47" s="244">
        <v>3402000037896</v>
      </c>
      <c r="D47" s="242" t="s">
        <v>44</v>
      </c>
      <c r="E47" s="242" t="s">
        <v>168</v>
      </c>
      <c r="F47" s="248">
        <v>15000</v>
      </c>
      <c r="G47" s="243" t="s">
        <v>119</v>
      </c>
      <c r="H47" s="242"/>
      <c r="I47" s="242"/>
      <c r="J47" s="95"/>
      <c r="K47" s="95"/>
      <c r="L47" s="115"/>
      <c r="M47" s="98"/>
      <c r="N47" s="248">
        <f t="shared" si="0"/>
        <v>75</v>
      </c>
      <c r="O47" s="248"/>
      <c r="P47" s="198">
        <f t="shared" si="1"/>
        <v>14925</v>
      </c>
      <c r="Q47" s="226">
        <f t="shared" si="4"/>
        <v>450</v>
      </c>
      <c r="R47" s="242"/>
    </row>
    <row r="48" spans="1:18" s="246" customFormat="1" ht="20.25" customHeight="1">
      <c r="A48" s="235">
        <v>42</v>
      </c>
      <c r="B48" s="247" t="s">
        <v>121</v>
      </c>
      <c r="C48" s="244">
        <v>3341600658671</v>
      </c>
      <c r="D48" s="242" t="s">
        <v>44</v>
      </c>
      <c r="E48" s="242" t="s">
        <v>168</v>
      </c>
      <c r="F48" s="248">
        <v>15000</v>
      </c>
      <c r="G48" s="243" t="s">
        <v>119</v>
      </c>
      <c r="H48" s="242"/>
      <c r="I48" s="242"/>
      <c r="J48" s="95"/>
      <c r="K48" s="95"/>
      <c r="L48" s="115"/>
      <c r="M48" s="98"/>
      <c r="N48" s="248">
        <f t="shared" si="0"/>
        <v>75</v>
      </c>
      <c r="O48" s="248"/>
      <c r="P48" s="198">
        <f t="shared" si="1"/>
        <v>14925</v>
      </c>
      <c r="Q48" s="226">
        <f t="shared" si="4"/>
        <v>450</v>
      </c>
      <c r="R48" s="242"/>
    </row>
    <row r="49" spans="1:18" s="262" customFormat="1" ht="20.25" customHeight="1">
      <c r="A49" s="255">
        <v>43</v>
      </c>
      <c r="B49" s="259" t="s">
        <v>122</v>
      </c>
      <c r="C49" s="264">
        <v>3930100204585</v>
      </c>
      <c r="D49" s="260" t="s">
        <v>19</v>
      </c>
      <c r="E49" s="260" t="s">
        <v>169</v>
      </c>
      <c r="F49" s="261">
        <v>15000</v>
      </c>
      <c r="G49" s="265" t="s">
        <v>119</v>
      </c>
      <c r="H49" s="260"/>
      <c r="I49" s="260"/>
      <c r="J49" s="95"/>
      <c r="K49" s="95"/>
      <c r="L49" s="115"/>
      <c r="M49" s="98"/>
      <c r="N49" s="261">
        <f t="shared" si="0"/>
        <v>75</v>
      </c>
      <c r="O49" s="261"/>
      <c r="P49" s="193">
        <f t="shared" si="1"/>
        <v>14925</v>
      </c>
      <c r="Q49" s="232">
        <f t="shared" si="4"/>
        <v>450</v>
      </c>
      <c r="R49" s="260"/>
    </row>
    <row r="50" spans="1:18" s="246" customFormat="1" ht="20.25" customHeight="1">
      <c r="A50" s="235">
        <v>44</v>
      </c>
      <c r="B50" s="247" t="s">
        <v>123</v>
      </c>
      <c r="C50" s="244">
        <v>1229900813291</v>
      </c>
      <c r="D50" s="242" t="s">
        <v>72</v>
      </c>
      <c r="E50" s="242" t="s">
        <v>168</v>
      </c>
      <c r="F50" s="248">
        <f>H50*I50</f>
        <v>4550</v>
      </c>
      <c r="G50" s="243" t="s">
        <v>119</v>
      </c>
      <c r="H50" s="242">
        <v>350</v>
      </c>
      <c r="I50" s="242">
        <v>13</v>
      </c>
      <c r="J50" s="132"/>
      <c r="K50" s="132"/>
      <c r="L50" s="134"/>
      <c r="M50" s="135"/>
      <c r="N50" s="248">
        <f>ROUND(F50*0.5%,0)</f>
        <v>23</v>
      </c>
      <c r="O50" s="248"/>
      <c r="P50" s="198">
        <f t="shared" si="1"/>
        <v>4527</v>
      </c>
      <c r="Q50" s="236">
        <f>ROUND(F50*3%,0)</f>
        <v>137</v>
      </c>
      <c r="R50" s="242"/>
    </row>
    <row r="51" spans="1:18" s="254" customFormat="1" ht="20.25" customHeight="1">
      <c r="A51" s="235">
        <v>45</v>
      </c>
      <c r="B51" s="249" t="s">
        <v>138</v>
      </c>
      <c r="C51" s="250">
        <v>1461000135963</v>
      </c>
      <c r="D51" s="251" t="s">
        <v>95</v>
      </c>
      <c r="E51" s="251" t="s">
        <v>168</v>
      </c>
      <c r="F51" s="236">
        <f>H51*I51</f>
        <v>8400</v>
      </c>
      <c r="G51" s="252" t="s">
        <v>139</v>
      </c>
      <c r="H51" s="251">
        <v>350</v>
      </c>
      <c r="I51" s="251">
        <v>24</v>
      </c>
      <c r="J51" s="143"/>
      <c r="K51" s="143"/>
      <c r="L51" s="145"/>
      <c r="M51" s="128"/>
      <c r="N51" s="236">
        <f>ROUND(F51*0.5%,0)</f>
        <v>42</v>
      </c>
      <c r="O51" s="236"/>
      <c r="P51" s="198">
        <f t="shared" si="1"/>
        <v>8358</v>
      </c>
      <c r="Q51" s="236">
        <f>ROUND(F51*3%,0)</f>
        <v>252</v>
      </c>
      <c r="R51" s="253"/>
    </row>
    <row r="52" spans="1:18" s="86" customFormat="1" ht="25.5" customHeight="1" thickBot="1">
      <c r="A52" s="416" t="s">
        <v>103</v>
      </c>
      <c r="B52" s="417"/>
      <c r="C52" s="417"/>
      <c r="D52" s="417"/>
      <c r="E52" s="418"/>
      <c r="F52" s="89">
        <f>SUM(F7:F51)</f>
        <v>724490</v>
      </c>
      <c r="G52" s="87"/>
      <c r="H52" s="87"/>
      <c r="I52" s="87"/>
      <c r="J52" s="87"/>
      <c r="K52" s="87"/>
      <c r="L52" s="87"/>
      <c r="M52" s="87"/>
      <c r="N52" s="89">
        <f>SUM(N7:N51)</f>
        <v>2827</v>
      </c>
      <c r="O52" s="89">
        <f>SUM(O7:O51)</f>
        <v>7677</v>
      </c>
      <c r="P52" s="89">
        <f>SUM(P7:P51)</f>
        <v>713986</v>
      </c>
      <c r="Q52" s="90">
        <f>SUM(Q7:Q51)</f>
        <v>16967</v>
      </c>
      <c r="R52" s="88"/>
    </row>
    <row r="53" spans="1:18" ht="20.25" customHeight="1" thickTop="1" thickBot="1">
      <c r="A53" s="119"/>
      <c r="B53" s="3"/>
      <c r="C53" s="3"/>
      <c r="D53" s="3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R53" s="5"/>
    </row>
    <row r="54" spans="1:18" ht="20.25" customHeight="1" thickBot="1">
      <c r="A54" s="119"/>
      <c r="B54" s="50" t="s">
        <v>12</v>
      </c>
      <c r="C54" s="3"/>
      <c r="D54" s="3"/>
      <c r="E54" s="3"/>
      <c r="F54" s="39"/>
      <c r="G54" s="156" t="s">
        <v>145</v>
      </c>
      <c r="H54" s="39"/>
      <c r="I54" s="39"/>
      <c r="J54" s="39"/>
      <c r="K54" s="39"/>
      <c r="L54" s="39"/>
      <c r="M54" s="39"/>
      <c r="N54" s="39"/>
      <c r="O54" s="39"/>
      <c r="P54" s="39"/>
      <c r="R54" s="5"/>
    </row>
    <row r="55" spans="1:18" ht="20.25" customHeight="1">
      <c r="A55" s="119"/>
      <c r="B55" s="52" t="s">
        <v>104</v>
      </c>
      <c r="C55" s="149">
        <v>0</v>
      </c>
      <c r="D55" s="54" t="s">
        <v>142</v>
      </c>
      <c r="E55" s="54"/>
      <c r="F55" s="55"/>
      <c r="G55" s="62" t="s">
        <v>141</v>
      </c>
      <c r="H55" s="63">
        <v>14</v>
      </c>
      <c r="I55" s="64" t="s">
        <v>142</v>
      </c>
      <c r="J55" s="148"/>
      <c r="K55" s="148"/>
      <c r="L55" s="66"/>
      <c r="M55" s="66"/>
      <c r="N55" s="45"/>
      <c r="O55" s="93"/>
      <c r="P55" s="3"/>
      <c r="R55" s="5"/>
    </row>
    <row r="56" spans="1:18" ht="20.25" customHeight="1">
      <c r="A56" s="119"/>
      <c r="B56" s="56"/>
      <c r="C56" s="150"/>
      <c r="D56" s="47"/>
      <c r="E56" s="47"/>
      <c r="F56" s="57"/>
      <c r="G56" s="65" t="s">
        <v>144</v>
      </c>
      <c r="H56" s="66">
        <v>31</v>
      </c>
      <c r="I56" s="67" t="s">
        <v>142</v>
      </c>
      <c r="J56" s="148"/>
      <c r="K56" s="148"/>
      <c r="L56" s="66"/>
      <c r="M56" s="66"/>
      <c r="N56" s="3"/>
      <c r="O56" s="93"/>
      <c r="P56" s="3"/>
      <c r="R56" s="5"/>
    </row>
    <row r="57" spans="1:18" ht="21.75" customHeight="1" thickBot="1">
      <c r="A57" s="119"/>
      <c r="B57" s="58" t="s">
        <v>137</v>
      </c>
      <c r="C57" s="151">
        <v>0</v>
      </c>
      <c r="D57" s="60" t="s">
        <v>142</v>
      </c>
      <c r="E57" s="60"/>
      <c r="F57" s="61"/>
      <c r="G57" s="68" t="s">
        <v>147</v>
      </c>
      <c r="H57" s="69">
        <f>SUM(H55:H56)</f>
        <v>45</v>
      </c>
      <c r="I57" s="155" t="s">
        <v>142</v>
      </c>
      <c r="J57" s="154"/>
      <c r="K57" s="154"/>
      <c r="L57" s="154"/>
      <c r="M57" s="154"/>
    </row>
    <row r="59" spans="1:18" ht="45" customHeight="1">
      <c r="C59" s="11" t="s">
        <v>167</v>
      </c>
      <c r="D59" s="11" t="s">
        <v>158</v>
      </c>
      <c r="E59" s="234" t="s">
        <v>170</v>
      </c>
      <c r="F59" s="234" t="s">
        <v>171</v>
      </c>
      <c r="G59" s="91" t="s">
        <v>150</v>
      </c>
      <c r="H59" s="234" t="s">
        <v>172</v>
      </c>
    </row>
    <row r="60" spans="1:18">
      <c r="C60" s="199" t="s">
        <v>168</v>
      </c>
      <c r="D60" s="197">
        <f>+F7+F12+F15+F16+F17+F18+F19+F22+F23+F24+F25+F26+F27+F29+F28+F32+F33+F35+F36+F37+F38+F39+F40+F41+F42+F43+F44+F46+F47+F48+F50+F51</f>
        <v>495590</v>
      </c>
      <c r="E60" s="197">
        <f>+Q7+Q12+Q15+Q16+Q17+Q18+Q19+Q22+Q23+Q24+Q25+Q26+Q27+Q28+Q29+Q32+Q33+Q35+Q36+Q37+Q38+Q39+Q40+Q41+Q42+Q43+Q44+Q46+Q47+Q48+Q50+Q51</f>
        <v>11300</v>
      </c>
      <c r="F60" s="197">
        <f>+N7+N12+N15+N16+N17+N18+N19+N22+N23+N24+N25+N26+N27+N28+N29+N32+N33+N35+N36+N37+N38+N39+N40+N41+N42+N43+N44+N46+N47+N48+N50+N51</f>
        <v>1882</v>
      </c>
      <c r="G60" s="197">
        <v>0</v>
      </c>
      <c r="H60" s="197">
        <f>SUBTOTAL(9,E60:F60)</f>
        <v>13182</v>
      </c>
    </row>
    <row r="61" spans="1:18">
      <c r="C61" s="191" t="s">
        <v>169</v>
      </c>
      <c r="D61" s="204">
        <f>+F8+F9+F10+F11+F13+F14+F20+F21+F30+F31+F34+F45+F49</f>
        <v>228900</v>
      </c>
      <c r="E61" s="204">
        <f>+Q8+Q9+Q10+Q11+Q13+Q14+Q20+Q21+Q30+Q31+Q34+Q45+Q49</f>
        <v>5667</v>
      </c>
      <c r="F61" s="204">
        <f>+N8+N9+N10+N11+N13+N14+N20+N21+N30+N31+N34+N45+N49</f>
        <v>945</v>
      </c>
      <c r="G61" s="204">
        <f>+O10+O13+O14</f>
        <v>7677</v>
      </c>
      <c r="H61" s="204">
        <f>+E61+F61</f>
        <v>6612</v>
      </c>
    </row>
    <row r="62" spans="1:18" ht="24">
      <c r="C62" s="195" t="s">
        <v>147</v>
      </c>
      <c r="D62" s="233">
        <f>SUM(D60:D61)</f>
        <v>724490</v>
      </c>
      <c r="E62" s="233">
        <f>SUM(E60:E61)</f>
        <v>16967</v>
      </c>
      <c r="F62" s="233">
        <f>SUM(F60:F61)</f>
        <v>2827</v>
      </c>
      <c r="G62" s="233">
        <f>SUM(G60:G61)</f>
        <v>7677</v>
      </c>
      <c r="H62" s="233">
        <f>SUM(H60:H61)</f>
        <v>19794</v>
      </c>
      <c r="J62" s="233">
        <f t="shared" ref="J62:M62" si="5">SUM(J60:J61)</f>
        <v>0</v>
      </c>
      <c r="K62" s="233">
        <f t="shared" si="5"/>
        <v>0</v>
      </c>
      <c r="L62" s="233">
        <f t="shared" si="5"/>
        <v>0</v>
      </c>
      <c r="M62" s="233">
        <f t="shared" si="5"/>
        <v>0</v>
      </c>
      <c r="N62" s="267"/>
    </row>
  </sheetData>
  <autoFilter ref="A5:R52" xr:uid="{E27745C7-51BD-4CD7-8842-70937A71A09D}">
    <filterColumn colId="7" showButton="0"/>
    <filterColumn colId="9" showButton="0"/>
    <filterColumn colId="11" showButton="0"/>
    <filterColumn colId="12" showButton="0"/>
    <filterColumn colId="13" showButton="0"/>
  </autoFilter>
  <mergeCells count="17">
    <mergeCell ref="A52:E52"/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J5:K5"/>
    <mergeCell ref="L5:O5"/>
    <mergeCell ref="P5:P6"/>
    <mergeCell ref="Q5:Q6"/>
    <mergeCell ref="R5:R6"/>
    <mergeCell ref="E5:E6"/>
  </mergeCells>
  <printOptions horizontalCentered="1"/>
  <pageMargins left="0.23622047244094491" right="0.23622047244094491" top="0.74803149606299213" bottom="0.13" header="0.31496062992125984" footer="0.31496062992125984"/>
  <pageSetup paperSize="9" scale="64" orientation="landscape" horizontalDpi="4294967293" r:id="rId1"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2875-ACC9-4E23-8CB4-3486C738C541}">
  <dimension ref="A1:Q57"/>
  <sheetViews>
    <sheetView zoomScaleNormal="100" zoomScaleSheetLayoutView="100" workbookViewId="0">
      <pane xSplit="5" ySplit="6" topLeftCell="K55" activePane="bottomRight" state="frozen"/>
      <selection pane="topRight" activeCell="G1" sqref="G1"/>
      <selection pane="bottomLeft" activeCell="A7" sqref="A7"/>
      <selection pane="bottomRight" activeCell="Q50" sqref="Q50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3" style="1" bestFit="1" customWidth="1"/>
    <col min="6" max="6" width="15" style="1" bestFit="1" customWidth="1"/>
    <col min="7" max="7" width="5.140625" style="1" bestFit="1" customWidth="1"/>
    <col min="8" max="8" width="7.85546875" style="1" bestFit="1" customWidth="1"/>
    <col min="9" max="9" width="4" style="1" bestFit="1" customWidth="1"/>
    <col min="10" max="10" width="7" style="1" bestFit="1" customWidth="1"/>
    <col min="11" max="11" width="6.7109375" style="1" bestFit="1" customWidth="1"/>
    <col min="12" max="12" width="5.5703125" style="1" bestFit="1" customWidth="1"/>
    <col min="13" max="13" width="15.42578125" style="1" bestFit="1" customWidth="1"/>
    <col min="14" max="14" width="8.42578125" style="168" bestFit="1" customWidth="1"/>
    <col min="15" max="15" width="10.5703125" style="1" bestFit="1" customWidth="1"/>
    <col min="16" max="16" width="12.42578125" style="76" bestFit="1" customWidth="1"/>
    <col min="17" max="17" width="26.85546875" style="1" bestFit="1" customWidth="1"/>
    <col min="18" max="16384" width="9" style="1"/>
  </cols>
  <sheetData>
    <row r="1" spans="1:17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20.25" customHeight="1">
      <c r="A3" s="381" t="s">
        <v>152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1.25" customHeight="1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63"/>
      <c r="O4" s="9"/>
      <c r="Q4" s="9"/>
    </row>
    <row r="5" spans="1:17" ht="20.25" customHeight="1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09" t="s">
        <v>154</v>
      </c>
      <c r="Q5" s="407" t="s">
        <v>12</v>
      </c>
    </row>
    <row r="6" spans="1:17" ht="27" customHeight="1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153</v>
      </c>
      <c r="N6" s="164" t="s">
        <v>150</v>
      </c>
      <c r="O6" s="396"/>
      <c r="P6" s="410"/>
      <c r="Q6" s="408"/>
    </row>
    <row r="7" spans="1:17" s="110" customFormat="1" ht="20.25" customHeigh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ROUND(E7*5%,0)</f>
        <v>730</v>
      </c>
      <c r="N7" s="98"/>
      <c r="O7" s="103">
        <f>SUM(E7-M7-N7)</f>
        <v>13870</v>
      </c>
      <c r="P7" s="116">
        <f>ROUND(E7*5%,0)</f>
        <v>730</v>
      </c>
      <c r="Q7" s="152"/>
    </row>
    <row r="8" spans="1:17" s="110" customFormat="1" ht="20.25" customHeigh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>ROUND(E8*5%,0)</f>
        <v>675</v>
      </c>
      <c r="N8" s="98"/>
      <c r="O8" s="103">
        <f t="shared" ref="O8:O51" si="0">SUM(E8-M8-N8)</f>
        <v>12825</v>
      </c>
      <c r="P8" s="116">
        <f t="shared" ref="P8:P9" si="1">ROUND(E8*5%,0)</f>
        <v>675</v>
      </c>
      <c r="Q8" s="100"/>
    </row>
    <row r="9" spans="1:17" s="110" customFormat="1" ht="20.25" customHeigh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ref="M9" si="2">ROUND(E9*5%,0)</f>
        <v>670</v>
      </c>
      <c r="N9" s="98"/>
      <c r="O9" s="103">
        <f t="shared" si="0"/>
        <v>12730</v>
      </c>
      <c r="P9" s="116">
        <f t="shared" si="1"/>
        <v>670</v>
      </c>
      <c r="Q9" s="100"/>
    </row>
    <row r="10" spans="1:17" s="110" customFormat="1" ht="20.25" customHeigh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750</v>
      </c>
      <c r="N10" s="98">
        <v>1785</v>
      </c>
      <c r="O10" s="103">
        <f t="shared" si="0"/>
        <v>13965</v>
      </c>
      <c r="P10" s="116">
        <v>750</v>
      </c>
      <c r="Q10" s="100"/>
    </row>
    <row r="11" spans="1:17" s="110" customFormat="1" ht="20.25" customHeigh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750</v>
      </c>
      <c r="N11" s="98"/>
      <c r="O11" s="103">
        <f t="shared" si="0"/>
        <v>16550</v>
      </c>
      <c r="P11" s="116">
        <v>750</v>
      </c>
      <c r="Q11" s="100"/>
    </row>
    <row r="12" spans="1:17" s="110" customFormat="1" ht="20.25" customHeigh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750</v>
      </c>
      <c r="N12" s="98"/>
      <c r="O12" s="103">
        <f t="shared" si="0"/>
        <v>18250</v>
      </c>
      <c r="P12" s="116">
        <v>750</v>
      </c>
      <c r="Q12" s="100"/>
    </row>
    <row r="13" spans="1:17" s="110" customFormat="1" ht="20.25" customHeigh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750</v>
      </c>
      <c r="N13" s="98">
        <v>4076</v>
      </c>
      <c r="O13" s="103">
        <f t="shared" si="0"/>
        <v>20174</v>
      </c>
      <c r="P13" s="116">
        <v>750</v>
      </c>
      <c r="Q13" s="100"/>
    </row>
    <row r="14" spans="1:17" s="110" customFormat="1" ht="20.25" customHeigh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750</v>
      </c>
      <c r="N14" s="98">
        <v>1816</v>
      </c>
      <c r="O14" s="103">
        <f t="shared" si="0"/>
        <v>17934</v>
      </c>
      <c r="P14" s="116">
        <v>750</v>
      </c>
      <c r="Q14" s="100"/>
    </row>
    <row r="15" spans="1:17" s="110" customFormat="1" ht="20.25" customHeigh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750</v>
      </c>
      <c r="N15" s="98"/>
      <c r="O15" s="103">
        <f t="shared" si="0"/>
        <v>24250</v>
      </c>
      <c r="P15" s="116">
        <v>750</v>
      </c>
      <c r="Q15" s="100"/>
    </row>
    <row r="16" spans="1:17" s="110" customFormat="1" ht="20.25" customHeigh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750</v>
      </c>
      <c r="N16" s="98"/>
      <c r="O16" s="103">
        <f t="shared" si="0"/>
        <v>18950</v>
      </c>
      <c r="P16" s="116">
        <v>750</v>
      </c>
      <c r="Q16" s="100"/>
    </row>
    <row r="17" spans="1:17" s="110" customFormat="1" ht="20.25" customHeigh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750</v>
      </c>
      <c r="N17" s="98"/>
      <c r="O17" s="103">
        <f t="shared" si="0"/>
        <v>16850</v>
      </c>
      <c r="P17" s="116">
        <v>750</v>
      </c>
      <c r="Q17" s="100"/>
    </row>
    <row r="18" spans="1:17" s="110" customFormat="1" ht="20.25" customHeigh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750</v>
      </c>
      <c r="N18" s="98"/>
      <c r="O18" s="103">
        <f t="shared" si="0"/>
        <v>24250</v>
      </c>
      <c r="P18" s="116">
        <v>750</v>
      </c>
      <c r="Q18" s="100"/>
    </row>
    <row r="19" spans="1:17" s="110" customFormat="1" ht="20.25" customHeigh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750</v>
      </c>
      <c r="N19" s="98"/>
      <c r="O19" s="103">
        <f t="shared" si="0"/>
        <v>21950</v>
      </c>
      <c r="P19" s="116">
        <v>750</v>
      </c>
      <c r="Q19" s="100"/>
    </row>
    <row r="20" spans="1:17" s="110" customFormat="1" ht="20.25" customHeigh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750</v>
      </c>
      <c r="N20" s="98"/>
      <c r="O20" s="103">
        <f t="shared" si="0"/>
        <v>22750</v>
      </c>
      <c r="P20" s="116">
        <v>750</v>
      </c>
      <c r="Q20" s="100"/>
    </row>
    <row r="21" spans="1:17" s="110" customFormat="1" ht="20.25" customHeigh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750</v>
      </c>
      <c r="N21" s="98"/>
      <c r="O21" s="103">
        <f t="shared" si="0"/>
        <v>24250</v>
      </c>
      <c r="P21" s="116">
        <v>750</v>
      </c>
      <c r="Q21" s="100"/>
    </row>
    <row r="22" spans="1:17" s="110" customFormat="1" ht="20.25" customHeigh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750</v>
      </c>
      <c r="N22" s="98"/>
      <c r="O22" s="103">
        <f t="shared" si="0"/>
        <v>24250</v>
      </c>
      <c r="P22" s="116">
        <v>750</v>
      </c>
      <c r="Q22" s="100"/>
    </row>
    <row r="23" spans="1:17" s="110" customFormat="1" ht="20.25" customHeigh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750</v>
      </c>
      <c r="N23" s="98"/>
      <c r="O23" s="103">
        <f t="shared" si="0"/>
        <v>24250</v>
      </c>
      <c r="P23" s="116">
        <v>750</v>
      </c>
      <c r="Q23" s="100"/>
    </row>
    <row r="24" spans="1:17" s="110" customFormat="1" ht="20.25" customHeigh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750</v>
      </c>
      <c r="N24" s="98"/>
      <c r="O24" s="103">
        <f t="shared" si="0"/>
        <v>24250</v>
      </c>
      <c r="P24" s="116">
        <v>750</v>
      </c>
      <c r="Q24" s="100"/>
    </row>
    <row r="25" spans="1:17" s="110" customFormat="1" ht="20.25" customHeigh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750</v>
      </c>
      <c r="N25" s="98"/>
      <c r="O25" s="103">
        <f t="shared" si="0"/>
        <v>24250</v>
      </c>
      <c r="P25" s="116">
        <v>750</v>
      </c>
      <c r="Q25" s="100"/>
    </row>
    <row r="26" spans="1:17" s="110" customFormat="1" ht="20.25" customHeigh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750</v>
      </c>
      <c r="N26" s="98"/>
      <c r="O26" s="103">
        <f t="shared" si="0"/>
        <v>24250</v>
      </c>
      <c r="P26" s="116">
        <v>750</v>
      </c>
      <c r="Q26" s="100"/>
    </row>
    <row r="27" spans="1:17" s="129" customFormat="1" ht="20.25" customHeigh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f>+G27*H27</f>
        <v>8600</v>
      </c>
      <c r="F27" s="123"/>
      <c r="G27" s="123">
        <v>400</v>
      </c>
      <c r="H27" s="123">
        <v>21.5</v>
      </c>
      <c r="I27" s="123"/>
      <c r="J27" s="123"/>
      <c r="K27" s="126"/>
      <c r="L27" s="124"/>
      <c r="M27" s="124">
        <f>ROUND(E27*5%,0)</f>
        <v>430</v>
      </c>
      <c r="N27" s="135"/>
      <c r="O27" s="124">
        <f t="shared" si="0"/>
        <v>8170</v>
      </c>
      <c r="P27" s="128">
        <f>ROUND(E27*5%,0)</f>
        <v>430</v>
      </c>
      <c r="Q27" s="124"/>
    </row>
    <row r="28" spans="1:17" s="129" customFormat="1" ht="20.25" customHeigh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7200</v>
      </c>
      <c r="F28" s="123"/>
      <c r="G28" s="123">
        <v>360</v>
      </c>
      <c r="H28" s="123">
        <v>20</v>
      </c>
      <c r="I28" s="123"/>
      <c r="J28" s="123"/>
      <c r="K28" s="126"/>
      <c r="L28" s="124"/>
      <c r="M28" s="124">
        <f>ROUND(E28*5%,0)</f>
        <v>360</v>
      </c>
      <c r="N28" s="135"/>
      <c r="O28" s="124">
        <f t="shared" si="0"/>
        <v>6840</v>
      </c>
      <c r="P28" s="128">
        <f>ROUND(E28*5%,0)</f>
        <v>360</v>
      </c>
      <c r="Q28" s="124"/>
    </row>
    <row r="29" spans="1:17" s="110" customFormat="1" ht="20.25" customHeigh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750</v>
      </c>
      <c r="N29" s="98"/>
      <c r="O29" s="103">
        <f t="shared" si="0"/>
        <v>24250</v>
      </c>
      <c r="P29" s="116">
        <v>750</v>
      </c>
      <c r="Q29" s="100"/>
    </row>
    <row r="30" spans="1:17" s="110" customFormat="1" ht="20.25" customHeigh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750</v>
      </c>
      <c r="N30" s="98"/>
      <c r="O30" s="103">
        <f t="shared" si="0"/>
        <v>14750</v>
      </c>
      <c r="P30" s="116">
        <v>750</v>
      </c>
      <c r="Q30" s="100"/>
    </row>
    <row r="31" spans="1:17" s="114" customFormat="1" ht="20.25" customHeigh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750</v>
      </c>
      <c r="N31" s="98"/>
      <c r="O31" s="103">
        <f t="shared" si="0"/>
        <v>14750</v>
      </c>
      <c r="P31" s="116">
        <v>750</v>
      </c>
      <c r="Q31" s="100"/>
    </row>
    <row r="32" spans="1:17" s="110" customFormat="1" ht="20.25" customHeigh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750</v>
      </c>
      <c r="N32" s="98"/>
      <c r="O32" s="103">
        <f t="shared" si="0"/>
        <v>24250</v>
      </c>
      <c r="P32" s="116">
        <v>750</v>
      </c>
      <c r="Q32" s="102"/>
    </row>
    <row r="33" spans="1:17" s="129" customFormat="1" ht="20.25" customHeigh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7600</v>
      </c>
      <c r="F33" s="125" t="s">
        <v>88</v>
      </c>
      <c r="G33" s="123">
        <v>380</v>
      </c>
      <c r="H33" s="123">
        <v>20</v>
      </c>
      <c r="I33" s="123"/>
      <c r="J33" s="123"/>
      <c r="K33" s="126"/>
      <c r="L33" s="124"/>
      <c r="M33" s="124">
        <f>ROUND(E33*5%,0)</f>
        <v>380</v>
      </c>
      <c r="N33" s="135"/>
      <c r="O33" s="124">
        <f t="shared" si="0"/>
        <v>7220</v>
      </c>
      <c r="P33" s="128">
        <f>ROUND(E33*5%,0)</f>
        <v>380</v>
      </c>
      <c r="Q33" s="127"/>
    </row>
    <row r="34" spans="1:17" s="110" customFormat="1" ht="20.25" customHeigh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750</v>
      </c>
      <c r="N34" s="98"/>
      <c r="O34" s="103">
        <f t="shared" si="0"/>
        <v>15450</v>
      </c>
      <c r="P34" s="116">
        <v>750</v>
      </c>
      <c r="Q34" s="100"/>
    </row>
    <row r="35" spans="1:17" s="129" customFormat="1" ht="20.25" customHeigh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6930</v>
      </c>
      <c r="F35" s="125" t="s">
        <v>96</v>
      </c>
      <c r="G35" s="123">
        <v>330</v>
      </c>
      <c r="H35" s="123">
        <v>21</v>
      </c>
      <c r="I35" s="123"/>
      <c r="J35" s="123"/>
      <c r="K35" s="126"/>
      <c r="L35" s="124"/>
      <c r="M35" s="124">
        <f>ROUND(E35*5%,0)</f>
        <v>347</v>
      </c>
      <c r="N35" s="135"/>
      <c r="O35" s="124">
        <f t="shared" si="0"/>
        <v>6583</v>
      </c>
      <c r="P35" s="128">
        <f>ROUND(E35*5%,0)</f>
        <v>347</v>
      </c>
      <c r="Q35" s="127"/>
    </row>
    <row r="36" spans="1:17" s="129" customFormat="1" ht="20.25" customHeigh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6930</v>
      </c>
      <c r="F36" s="125" t="s">
        <v>96</v>
      </c>
      <c r="G36" s="123">
        <v>330</v>
      </c>
      <c r="H36" s="123">
        <v>21</v>
      </c>
      <c r="I36" s="123"/>
      <c r="J36" s="123"/>
      <c r="K36" s="126"/>
      <c r="L36" s="124"/>
      <c r="M36" s="124">
        <f t="shared" ref="M36:M44" si="4">ROUND(E36*5%,0)</f>
        <v>347</v>
      </c>
      <c r="N36" s="135"/>
      <c r="O36" s="124">
        <f t="shared" si="0"/>
        <v>6583</v>
      </c>
      <c r="P36" s="128">
        <f t="shared" ref="P36:P51" si="5">ROUND(E36*5%,0)</f>
        <v>347</v>
      </c>
      <c r="Q36" s="127"/>
    </row>
    <row r="37" spans="1:17" s="129" customFormat="1" ht="20.25" customHeigh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6930</v>
      </c>
      <c r="F37" s="125" t="s">
        <v>96</v>
      </c>
      <c r="G37" s="123">
        <v>330</v>
      </c>
      <c r="H37" s="123">
        <v>21</v>
      </c>
      <c r="I37" s="123"/>
      <c r="J37" s="123"/>
      <c r="K37" s="126"/>
      <c r="L37" s="124"/>
      <c r="M37" s="124">
        <f t="shared" si="4"/>
        <v>347</v>
      </c>
      <c r="N37" s="135"/>
      <c r="O37" s="124">
        <f t="shared" si="0"/>
        <v>6583</v>
      </c>
      <c r="P37" s="128">
        <f t="shared" si="5"/>
        <v>347</v>
      </c>
      <c r="Q37" s="124"/>
    </row>
    <row r="38" spans="1:17" s="129" customFormat="1" ht="20.25" customHeigh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6930</v>
      </c>
      <c r="F38" s="125" t="s">
        <v>96</v>
      </c>
      <c r="G38" s="123">
        <v>330</v>
      </c>
      <c r="H38" s="123">
        <v>21</v>
      </c>
      <c r="I38" s="123"/>
      <c r="J38" s="123"/>
      <c r="K38" s="126"/>
      <c r="L38" s="124"/>
      <c r="M38" s="124">
        <f t="shared" si="4"/>
        <v>347</v>
      </c>
      <c r="N38" s="135"/>
      <c r="O38" s="124">
        <f t="shared" si="0"/>
        <v>6583</v>
      </c>
      <c r="P38" s="128">
        <f t="shared" si="5"/>
        <v>347</v>
      </c>
      <c r="Q38" s="124"/>
    </row>
    <row r="39" spans="1:17" s="136" customFormat="1" ht="20.25" customHeigh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8400</v>
      </c>
      <c r="F39" s="133" t="s">
        <v>107</v>
      </c>
      <c r="G39" s="132">
        <v>400</v>
      </c>
      <c r="H39" s="132">
        <v>21</v>
      </c>
      <c r="I39" s="132"/>
      <c r="J39" s="132"/>
      <c r="K39" s="134"/>
      <c r="L39" s="135"/>
      <c r="M39" s="124">
        <f t="shared" si="4"/>
        <v>420</v>
      </c>
      <c r="N39" s="135"/>
      <c r="O39" s="124">
        <f t="shared" si="0"/>
        <v>7980</v>
      </c>
      <c r="P39" s="128">
        <f t="shared" si="5"/>
        <v>420</v>
      </c>
      <c r="Q39" s="124"/>
    </row>
    <row r="40" spans="1:17" s="136" customFormat="1" ht="20.25" customHeigh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6930</v>
      </c>
      <c r="F40" s="133" t="s">
        <v>111</v>
      </c>
      <c r="G40" s="132">
        <v>330</v>
      </c>
      <c r="H40" s="132">
        <v>21</v>
      </c>
      <c r="I40" s="132"/>
      <c r="J40" s="132"/>
      <c r="K40" s="134"/>
      <c r="L40" s="135"/>
      <c r="M40" s="124">
        <f t="shared" si="4"/>
        <v>347</v>
      </c>
      <c r="N40" s="135"/>
      <c r="O40" s="124">
        <f t="shared" si="0"/>
        <v>6583</v>
      </c>
      <c r="P40" s="128">
        <f t="shared" si="5"/>
        <v>347</v>
      </c>
      <c r="Q40" s="124"/>
    </row>
    <row r="41" spans="1:17" s="136" customFormat="1" ht="20.25" customHeigh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6600</v>
      </c>
      <c r="F41" s="133" t="s">
        <v>111</v>
      </c>
      <c r="G41" s="132">
        <v>330</v>
      </c>
      <c r="H41" s="132">
        <v>20</v>
      </c>
      <c r="I41" s="132"/>
      <c r="J41" s="132"/>
      <c r="K41" s="134"/>
      <c r="L41" s="135"/>
      <c r="M41" s="124">
        <f t="shared" si="4"/>
        <v>330</v>
      </c>
      <c r="N41" s="135"/>
      <c r="O41" s="124">
        <f t="shared" si="0"/>
        <v>6270</v>
      </c>
      <c r="P41" s="128">
        <f t="shared" si="5"/>
        <v>330</v>
      </c>
      <c r="Q41" s="124"/>
    </row>
    <row r="42" spans="1:17" s="136" customFormat="1" ht="20.25" customHeigh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6930</v>
      </c>
      <c r="F42" s="133" t="s">
        <v>111</v>
      </c>
      <c r="G42" s="132">
        <v>330</v>
      </c>
      <c r="H42" s="132">
        <v>21</v>
      </c>
      <c r="I42" s="132"/>
      <c r="J42" s="132"/>
      <c r="K42" s="134"/>
      <c r="L42" s="135"/>
      <c r="M42" s="124">
        <f t="shared" si="4"/>
        <v>347</v>
      </c>
      <c r="N42" s="135"/>
      <c r="O42" s="124">
        <f t="shared" si="0"/>
        <v>6583</v>
      </c>
      <c r="P42" s="128">
        <f t="shared" si="5"/>
        <v>347</v>
      </c>
      <c r="Q42" s="132"/>
    </row>
    <row r="43" spans="1:17" s="110" customFormat="1" ht="20.25" customHeigh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750</v>
      </c>
      <c r="N43" s="98"/>
      <c r="O43" s="103">
        <f t="shared" si="0"/>
        <v>24250</v>
      </c>
      <c r="P43" s="116">
        <v>750</v>
      </c>
      <c r="Q43" s="100"/>
    </row>
    <row r="44" spans="1:17" s="129" customFormat="1" ht="20.25" customHeigh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6600</v>
      </c>
      <c r="F44" s="138" t="s">
        <v>106</v>
      </c>
      <c r="G44" s="123">
        <v>330</v>
      </c>
      <c r="H44" s="123">
        <v>20</v>
      </c>
      <c r="I44" s="123"/>
      <c r="J44" s="123"/>
      <c r="K44" s="126"/>
      <c r="L44" s="124"/>
      <c r="M44" s="124">
        <f t="shared" si="4"/>
        <v>330</v>
      </c>
      <c r="N44" s="135"/>
      <c r="O44" s="124">
        <f t="shared" si="0"/>
        <v>6270</v>
      </c>
      <c r="P44" s="128">
        <f t="shared" si="5"/>
        <v>330</v>
      </c>
      <c r="Q44" s="139"/>
    </row>
    <row r="45" spans="1:17" s="105" customFormat="1" ht="20.25" customHeigh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>ROUND(E45*5%,0)</f>
        <v>600</v>
      </c>
      <c r="N45" s="98"/>
      <c r="O45" s="103">
        <f t="shared" si="0"/>
        <v>11400</v>
      </c>
      <c r="P45" s="116">
        <f t="shared" si="5"/>
        <v>600</v>
      </c>
      <c r="Q45" s="100"/>
    </row>
    <row r="46" spans="1:17" s="114" customFormat="1" ht="20.25" customHeigh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103">
        <f>ROUND(E46*5%,0)</f>
        <v>750</v>
      </c>
      <c r="N46" s="98"/>
      <c r="O46" s="103">
        <f t="shared" si="0"/>
        <v>14250</v>
      </c>
      <c r="P46" s="116">
        <f t="shared" si="5"/>
        <v>750</v>
      </c>
      <c r="Q46" s="95"/>
    </row>
    <row r="47" spans="1:17" s="114" customFormat="1" ht="20.25" customHeigh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103">
        <f>ROUND(E47*5%,0)</f>
        <v>750</v>
      </c>
      <c r="N47" s="98"/>
      <c r="O47" s="103">
        <f t="shared" si="0"/>
        <v>14250</v>
      </c>
      <c r="P47" s="116">
        <f t="shared" si="5"/>
        <v>750</v>
      </c>
      <c r="Q47" s="95"/>
    </row>
    <row r="48" spans="1:17" s="114" customFormat="1" ht="20.25" customHeigh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103">
        <f>ROUND(E48*5%,0)</f>
        <v>750</v>
      </c>
      <c r="N48" s="98"/>
      <c r="O48" s="103">
        <f t="shared" si="0"/>
        <v>14250</v>
      </c>
      <c r="P48" s="116">
        <f t="shared" si="5"/>
        <v>750</v>
      </c>
      <c r="Q48" s="95"/>
    </row>
    <row r="49" spans="1:17" s="114" customFormat="1" ht="20.25" customHeigh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98">
        <v>750</v>
      </c>
      <c r="N49" s="98"/>
      <c r="O49" s="103">
        <f t="shared" si="0"/>
        <v>14250</v>
      </c>
      <c r="P49" s="116">
        <f t="shared" si="5"/>
        <v>750</v>
      </c>
      <c r="Q49" s="95"/>
    </row>
    <row r="50" spans="1:17" s="147" customFormat="1" ht="20.25" customHeight="1">
      <c r="A50" s="158">
        <v>44</v>
      </c>
      <c r="B50" s="159" t="s">
        <v>123</v>
      </c>
      <c r="C50" s="160">
        <v>1229900813291</v>
      </c>
      <c r="D50" s="139" t="s">
        <v>72</v>
      </c>
      <c r="E50" s="127">
        <f>G50*H50</f>
        <v>3500</v>
      </c>
      <c r="F50" s="161" t="s">
        <v>119</v>
      </c>
      <c r="G50" s="139">
        <v>350</v>
      </c>
      <c r="H50" s="139">
        <v>10</v>
      </c>
      <c r="I50" s="139"/>
      <c r="J50" s="139"/>
      <c r="K50" s="162"/>
      <c r="L50" s="127"/>
      <c r="M50" s="127">
        <f t="shared" ref="M50:M51" si="6">ROUND(E50*5%,0)</f>
        <v>175</v>
      </c>
      <c r="N50" s="127"/>
      <c r="O50" s="127">
        <f t="shared" si="0"/>
        <v>3325</v>
      </c>
      <c r="P50" s="157">
        <f t="shared" si="5"/>
        <v>175</v>
      </c>
      <c r="Q50" s="139"/>
    </row>
    <row r="51" spans="1:17" s="147" customFormat="1" ht="20.25" customHeight="1">
      <c r="A51" s="121">
        <v>45</v>
      </c>
      <c r="B51" s="141" t="s">
        <v>138</v>
      </c>
      <c r="C51" s="142">
        <v>1461000135963</v>
      </c>
      <c r="D51" s="143" t="s">
        <v>95</v>
      </c>
      <c r="E51" s="128">
        <f>G51*H51</f>
        <v>7350</v>
      </c>
      <c r="F51" s="144" t="s">
        <v>139</v>
      </c>
      <c r="G51" s="143">
        <v>350</v>
      </c>
      <c r="H51" s="143">
        <v>21</v>
      </c>
      <c r="I51" s="143"/>
      <c r="J51" s="143"/>
      <c r="K51" s="145"/>
      <c r="L51" s="128"/>
      <c r="M51" s="124">
        <f t="shared" si="6"/>
        <v>368</v>
      </c>
      <c r="N51" s="128"/>
      <c r="O51" s="124">
        <f t="shared" si="0"/>
        <v>6982</v>
      </c>
      <c r="P51" s="128">
        <f t="shared" si="5"/>
        <v>368</v>
      </c>
      <c r="Q51" s="146"/>
    </row>
    <row r="52" spans="1:17" s="86" customFormat="1" ht="25.5" customHeight="1" thickBot="1">
      <c r="A52" s="402" t="s">
        <v>103</v>
      </c>
      <c r="B52" s="402"/>
      <c r="C52" s="402"/>
      <c r="D52" s="402"/>
      <c r="E52" s="89">
        <f>SUM(E7:E51)</f>
        <v>714930</v>
      </c>
      <c r="F52" s="87"/>
      <c r="G52" s="87"/>
      <c r="H52" s="87"/>
      <c r="I52" s="87"/>
      <c r="J52" s="87"/>
      <c r="K52" s="87"/>
      <c r="L52" s="87"/>
      <c r="M52" s="89">
        <f>SUM(M7:M51)</f>
        <v>27800</v>
      </c>
      <c r="N52" s="165">
        <f>SUM(N7:N51)</f>
        <v>7677</v>
      </c>
      <c r="O52" s="89">
        <f>SUM(O7:O51)</f>
        <v>679453</v>
      </c>
      <c r="P52" s="90">
        <f>SUM(P7:P51)</f>
        <v>27800</v>
      </c>
      <c r="Q52" s="88"/>
    </row>
    <row r="53" spans="1:17" ht="20.25" customHeight="1" thickTop="1" thickBot="1">
      <c r="A53" s="119"/>
      <c r="B53" s="3"/>
      <c r="C53" s="3"/>
      <c r="D53" s="3"/>
      <c r="E53" s="39"/>
      <c r="F53" s="39"/>
      <c r="G53" s="39"/>
      <c r="H53" s="39"/>
      <c r="I53" s="39"/>
      <c r="J53" s="39"/>
      <c r="K53" s="39"/>
      <c r="L53" s="39"/>
      <c r="M53" s="39"/>
      <c r="N53" s="166"/>
      <c r="O53" s="39"/>
      <c r="Q53" s="5"/>
    </row>
    <row r="54" spans="1:17" ht="20.25" customHeight="1" thickBot="1">
      <c r="A54" s="119"/>
      <c r="B54" s="50" t="s">
        <v>12</v>
      </c>
      <c r="C54" s="3"/>
      <c r="D54" s="3"/>
      <c r="E54" s="39"/>
      <c r="F54" s="156" t="s">
        <v>145</v>
      </c>
      <c r="G54" s="39"/>
      <c r="H54" s="39"/>
      <c r="I54" s="39"/>
      <c r="J54" s="39"/>
      <c r="K54" s="39"/>
      <c r="L54" s="39"/>
      <c r="M54" s="39"/>
      <c r="N54" s="166"/>
      <c r="O54" s="39"/>
      <c r="Q54" s="5"/>
    </row>
    <row r="55" spans="1:17" ht="20.25" customHeight="1">
      <c r="A55" s="119"/>
      <c r="B55" s="52" t="s">
        <v>104</v>
      </c>
      <c r="C55" s="149">
        <v>0</v>
      </c>
      <c r="D55" s="54" t="s">
        <v>142</v>
      </c>
      <c r="E55" s="55"/>
      <c r="F55" s="62" t="s">
        <v>141</v>
      </c>
      <c r="G55" s="63">
        <v>14</v>
      </c>
      <c r="H55" s="64" t="s">
        <v>142</v>
      </c>
      <c r="I55" s="148"/>
      <c r="J55" s="148"/>
      <c r="K55" s="66"/>
      <c r="L55" s="66"/>
      <c r="M55" s="45"/>
      <c r="N55" s="167"/>
      <c r="O55" s="3"/>
      <c r="Q55" s="5"/>
    </row>
    <row r="56" spans="1:17" ht="20.25" customHeight="1">
      <c r="A56" s="119"/>
      <c r="B56" s="56"/>
      <c r="C56" s="150"/>
      <c r="D56" s="47"/>
      <c r="E56" s="57"/>
      <c r="F56" s="65" t="s">
        <v>144</v>
      </c>
      <c r="G56" s="66">
        <v>31</v>
      </c>
      <c r="H56" s="67" t="s">
        <v>142</v>
      </c>
      <c r="I56" s="148"/>
      <c r="J56" s="148"/>
      <c r="K56" s="66"/>
      <c r="L56" s="66"/>
      <c r="M56" s="3"/>
      <c r="N56" s="167"/>
      <c r="O56" s="3"/>
      <c r="Q56" s="5"/>
    </row>
    <row r="57" spans="1:17" ht="21.75" customHeight="1" thickBot="1">
      <c r="A57" s="119"/>
      <c r="B57" s="58" t="s">
        <v>137</v>
      </c>
      <c r="C57" s="151">
        <v>0</v>
      </c>
      <c r="D57" s="60" t="s">
        <v>142</v>
      </c>
      <c r="E57" s="61"/>
      <c r="F57" s="68" t="s">
        <v>147</v>
      </c>
      <c r="G57" s="69">
        <f>SUM(G55:G56)</f>
        <v>45</v>
      </c>
      <c r="H57" s="155" t="s">
        <v>142</v>
      </c>
      <c r="I57" s="154"/>
      <c r="J57" s="154"/>
      <c r="K57" s="154"/>
      <c r="L57" s="154"/>
    </row>
  </sheetData>
  <mergeCells count="16">
    <mergeCell ref="A52:D52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H5"/>
    <mergeCell ref="I5:J5"/>
    <mergeCell ref="K5:N5"/>
    <mergeCell ref="O5:O6"/>
    <mergeCell ref="P5:P6"/>
    <mergeCell ref="Q5:Q6"/>
  </mergeCells>
  <printOptions horizontalCentered="1"/>
  <pageMargins left="0.23622047244094491" right="0.23622047244094491" top="0.74803149606299213" bottom="0.13" header="0.31496062992125984" footer="0.31496062992125984"/>
  <pageSetup paperSize="9" scale="66" orientation="landscape" horizontalDpi="4294967293" r:id="rId1"/>
  <rowBreaks count="1" manualBreakCount="1">
    <brk id="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622D-89C8-4030-BC68-91E78755C1D6}">
  <dimension ref="A1:R62"/>
  <sheetViews>
    <sheetView view="pageBreakPreview" zoomScaleNormal="100" zoomScaleSheetLayoutView="100" workbookViewId="0">
      <pane xSplit="6" ySplit="6" topLeftCell="G33" activePane="bottomRight" state="frozen"/>
      <selection pane="topRight" activeCell="G1" sqref="G1"/>
      <selection pane="bottomLeft" activeCell="A7" sqref="A7"/>
      <selection pane="bottomRight" activeCell="B59" sqref="B59:G62"/>
    </sheetView>
  </sheetViews>
  <sheetFormatPr defaultColWidth="9" defaultRowHeight="21.75"/>
  <cols>
    <col min="1" max="1" width="9" style="120"/>
    <col min="2" max="2" width="22.7109375" style="1" customWidth="1"/>
    <col min="3" max="3" width="19.7109375" style="1" bestFit="1" customWidth="1"/>
    <col min="4" max="4" width="15.85546875" style="1" bestFit="1" customWidth="1"/>
    <col min="5" max="5" width="15.85546875" style="1" customWidth="1"/>
    <col min="6" max="6" width="13" style="1" bestFit="1" customWidth="1"/>
    <col min="7" max="7" width="15" style="1" bestFit="1" customWidth="1"/>
    <col min="8" max="9" width="9.140625" style="1" bestFit="1" customWidth="1"/>
    <col min="10" max="10" width="4" style="1" hidden="1" customWidth="1"/>
    <col min="11" max="11" width="7" style="1" hidden="1" customWidth="1"/>
    <col min="12" max="12" width="6.7109375" style="1" hidden="1" customWidth="1"/>
    <col min="13" max="13" width="5.5703125" style="1" hidden="1" customWidth="1"/>
    <col min="14" max="14" width="15.42578125" style="1" bestFit="1" customWidth="1"/>
    <col min="15" max="15" width="8.42578125" style="168" bestFit="1" customWidth="1"/>
    <col min="16" max="16" width="10.5703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 ht="20.25" customHeight="1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 ht="20.25" customHeight="1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 ht="20.25" customHeight="1">
      <c r="A3" s="381" t="s">
        <v>152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11.25" customHeight="1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 ht="20.25" customHeight="1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09" t="s">
        <v>154</v>
      </c>
      <c r="R5" s="407" t="s">
        <v>12</v>
      </c>
    </row>
    <row r="6" spans="1:18" ht="27" customHeight="1" thickBot="1">
      <c r="A6" s="415"/>
      <c r="B6" s="383"/>
      <c r="C6" s="385"/>
      <c r="D6" s="383"/>
      <c r="E6" s="387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153</v>
      </c>
      <c r="O6" s="164" t="s">
        <v>150</v>
      </c>
      <c r="P6" s="396"/>
      <c r="Q6" s="410"/>
      <c r="R6" s="408"/>
    </row>
    <row r="7" spans="1:18" s="200" customFormat="1" ht="20.25" customHeight="1">
      <c r="A7" s="235">
        <v>1</v>
      </c>
      <c r="B7" s="196" t="s">
        <v>20</v>
      </c>
      <c r="C7" s="199" t="s">
        <v>21</v>
      </c>
      <c r="D7" s="199" t="s">
        <v>22</v>
      </c>
      <c r="E7" s="198" t="s">
        <v>168</v>
      </c>
      <c r="F7" s="198">
        <v>14600</v>
      </c>
      <c r="G7" s="199"/>
      <c r="H7" s="199"/>
      <c r="I7" s="199"/>
      <c r="J7" s="199"/>
      <c r="K7" s="199"/>
      <c r="L7" s="269"/>
      <c r="M7" s="198"/>
      <c r="N7" s="198">
        <f>ROUND(F7*5%,0)</f>
        <v>730</v>
      </c>
      <c r="O7" s="248"/>
      <c r="P7" s="198">
        <f t="shared" ref="P7:P51" si="0">SUM(F7-N7-O7)</f>
        <v>13870</v>
      </c>
      <c r="Q7" s="236">
        <f>ROUND(F7*5%,0)</f>
        <v>730</v>
      </c>
      <c r="R7" s="237"/>
    </row>
    <row r="8" spans="1:18" s="194" customFormat="1" ht="20.25" customHeight="1">
      <c r="A8" s="255">
        <v>2</v>
      </c>
      <c r="B8" s="192" t="s">
        <v>23</v>
      </c>
      <c r="C8" s="191" t="s">
        <v>24</v>
      </c>
      <c r="D8" s="191" t="s">
        <v>19</v>
      </c>
      <c r="E8" s="193" t="s">
        <v>169</v>
      </c>
      <c r="F8" s="193">
        <v>13500</v>
      </c>
      <c r="G8" s="191"/>
      <c r="H8" s="191"/>
      <c r="I8" s="191"/>
      <c r="J8" s="191"/>
      <c r="K8" s="191"/>
      <c r="L8" s="278"/>
      <c r="M8" s="193"/>
      <c r="N8" s="193">
        <f>ROUND(F8*5%,0)</f>
        <v>675</v>
      </c>
      <c r="O8" s="261"/>
      <c r="P8" s="193">
        <f t="shared" si="0"/>
        <v>12825</v>
      </c>
      <c r="Q8" s="256">
        <f>ROUND(F8*5%,0)</f>
        <v>675</v>
      </c>
      <c r="R8" s="257"/>
    </row>
    <row r="9" spans="1:18" s="194" customFormat="1" ht="20.25" customHeight="1">
      <c r="A9" s="255">
        <v>3</v>
      </c>
      <c r="B9" s="192" t="s">
        <v>25</v>
      </c>
      <c r="C9" s="191" t="s">
        <v>26</v>
      </c>
      <c r="D9" s="191" t="s">
        <v>27</v>
      </c>
      <c r="E9" s="193" t="s">
        <v>169</v>
      </c>
      <c r="F9" s="193">
        <v>13400</v>
      </c>
      <c r="G9" s="191"/>
      <c r="H9" s="191"/>
      <c r="I9" s="191"/>
      <c r="J9" s="191"/>
      <c r="K9" s="191"/>
      <c r="L9" s="278"/>
      <c r="M9" s="193"/>
      <c r="N9" s="193">
        <f>ROUND(F9*5%,0)</f>
        <v>670</v>
      </c>
      <c r="O9" s="261"/>
      <c r="P9" s="193">
        <f t="shared" si="0"/>
        <v>12730</v>
      </c>
      <c r="Q9" s="256">
        <f>ROUND(F9*5%,0)</f>
        <v>670</v>
      </c>
      <c r="R9" s="257"/>
    </row>
    <row r="10" spans="1:18" s="194" customFormat="1" ht="20.25" customHeight="1">
      <c r="A10" s="255">
        <v>4</v>
      </c>
      <c r="B10" s="192" t="s">
        <v>30</v>
      </c>
      <c r="C10" s="191" t="s">
        <v>31</v>
      </c>
      <c r="D10" s="191" t="s">
        <v>32</v>
      </c>
      <c r="E10" s="193" t="s">
        <v>169</v>
      </c>
      <c r="F10" s="193">
        <v>16500</v>
      </c>
      <c r="G10" s="191"/>
      <c r="H10" s="191"/>
      <c r="I10" s="191"/>
      <c r="J10" s="191"/>
      <c r="K10" s="191"/>
      <c r="L10" s="278"/>
      <c r="M10" s="193"/>
      <c r="N10" s="193">
        <v>750</v>
      </c>
      <c r="O10" s="261">
        <v>1785</v>
      </c>
      <c r="P10" s="193">
        <f t="shared" si="0"/>
        <v>13965</v>
      </c>
      <c r="Q10" s="256">
        <v>750</v>
      </c>
      <c r="R10" s="257"/>
    </row>
    <row r="11" spans="1:18" s="194" customFormat="1" ht="20.25" customHeight="1">
      <c r="A11" s="255">
        <v>5</v>
      </c>
      <c r="B11" s="192" t="s">
        <v>33</v>
      </c>
      <c r="C11" s="191" t="s">
        <v>34</v>
      </c>
      <c r="D11" s="191" t="s">
        <v>32</v>
      </c>
      <c r="E11" s="193" t="s">
        <v>169</v>
      </c>
      <c r="F11" s="193">
        <v>17300</v>
      </c>
      <c r="G11" s="191"/>
      <c r="H11" s="191"/>
      <c r="I11" s="191"/>
      <c r="J11" s="191"/>
      <c r="K11" s="191"/>
      <c r="L11" s="278"/>
      <c r="M11" s="193"/>
      <c r="N11" s="193">
        <v>750</v>
      </c>
      <c r="O11" s="261"/>
      <c r="P11" s="193">
        <f t="shared" si="0"/>
        <v>16550</v>
      </c>
      <c r="Q11" s="256">
        <v>750</v>
      </c>
      <c r="R11" s="257"/>
    </row>
    <row r="12" spans="1:18" s="200" customFormat="1" ht="20.25" customHeight="1">
      <c r="A12" s="235">
        <v>6</v>
      </c>
      <c r="B12" s="196" t="s">
        <v>35</v>
      </c>
      <c r="C12" s="199" t="s">
        <v>36</v>
      </c>
      <c r="D12" s="199" t="s">
        <v>37</v>
      </c>
      <c r="E12" s="198" t="s">
        <v>168</v>
      </c>
      <c r="F12" s="198">
        <v>19000</v>
      </c>
      <c r="G12" s="199"/>
      <c r="H12" s="199"/>
      <c r="I12" s="199"/>
      <c r="J12" s="199"/>
      <c r="K12" s="199"/>
      <c r="L12" s="269"/>
      <c r="M12" s="198"/>
      <c r="N12" s="198">
        <v>750</v>
      </c>
      <c r="O12" s="248"/>
      <c r="P12" s="198">
        <f t="shared" si="0"/>
        <v>18250</v>
      </c>
      <c r="Q12" s="236">
        <v>750</v>
      </c>
      <c r="R12" s="238"/>
    </row>
    <row r="13" spans="1:18" s="194" customFormat="1" ht="20.25" customHeight="1">
      <c r="A13" s="255">
        <v>7</v>
      </c>
      <c r="B13" s="192" t="s">
        <v>38</v>
      </c>
      <c r="C13" s="191" t="s">
        <v>39</v>
      </c>
      <c r="D13" s="191" t="s">
        <v>32</v>
      </c>
      <c r="E13" s="193" t="s">
        <v>169</v>
      </c>
      <c r="F13" s="193">
        <v>25000</v>
      </c>
      <c r="G13" s="191"/>
      <c r="H13" s="191"/>
      <c r="I13" s="191"/>
      <c r="J13" s="191"/>
      <c r="K13" s="191"/>
      <c r="L13" s="278"/>
      <c r="M13" s="193"/>
      <c r="N13" s="193">
        <v>750</v>
      </c>
      <c r="O13" s="261">
        <v>4076</v>
      </c>
      <c r="P13" s="193">
        <f t="shared" si="0"/>
        <v>20174</v>
      </c>
      <c r="Q13" s="256">
        <v>750</v>
      </c>
      <c r="R13" s="257"/>
    </row>
    <row r="14" spans="1:18" s="194" customFormat="1" ht="20.25" customHeight="1">
      <c r="A14" s="255">
        <v>8</v>
      </c>
      <c r="B14" s="192" t="s">
        <v>40</v>
      </c>
      <c r="C14" s="191" t="s">
        <v>41</v>
      </c>
      <c r="D14" s="191" t="s">
        <v>32</v>
      </c>
      <c r="E14" s="193" t="s">
        <v>169</v>
      </c>
      <c r="F14" s="193">
        <v>20500</v>
      </c>
      <c r="G14" s="191"/>
      <c r="H14" s="191"/>
      <c r="I14" s="191"/>
      <c r="J14" s="191"/>
      <c r="K14" s="191"/>
      <c r="L14" s="278"/>
      <c r="M14" s="193"/>
      <c r="N14" s="193">
        <v>750</v>
      </c>
      <c r="O14" s="261">
        <v>1816</v>
      </c>
      <c r="P14" s="193">
        <f t="shared" si="0"/>
        <v>17934</v>
      </c>
      <c r="Q14" s="256">
        <v>750</v>
      </c>
      <c r="R14" s="257"/>
    </row>
    <row r="15" spans="1:18" s="200" customFormat="1" ht="20.25" customHeight="1">
      <c r="A15" s="235">
        <v>9</v>
      </c>
      <c r="B15" s="196" t="s">
        <v>42</v>
      </c>
      <c r="C15" s="199" t="s">
        <v>43</v>
      </c>
      <c r="D15" s="199" t="s">
        <v>44</v>
      </c>
      <c r="E15" s="198" t="s">
        <v>168</v>
      </c>
      <c r="F15" s="198">
        <v>25000</v>
      </c>
      <c r="G15" s="199"/>
      <c r="H15" s="199"/>
      <c r="I15" s="199"/>
      <c r="J15" s="199"/>
      <c r="K15" s="199"/>
      <c r="L15" s="269"/>
      <c r="M15" s="198"/>
      <c r="N15" s="198">
        <v>750</v>
      </c>
      <c r="O15" s="248"/>
      <c r="P15" s="198">
        <f t="shared" si="0"/>
        <v>24250</v>
      </c>
      <c r="Q15" s="236">
        <v>750</v>
      </c>
      <c r="R15" s="238"/>
    </row>
    <row r="16" spans="1:18" s="200" customFormat="1" ht="20.25" customHeight="1">
      <c r="A16" s="235">
        <v>10</v>
      </c>
      <c r="B16" s="196" t="s">
        <v>45</v>
      </c>
      <c r="C16" s="199" t="s">
        <v>46</v>
      </c>
      <c r="D16" s="199" t="s">
        <v>44</v>
      </c>
      <c r="E16" s="198" t="s">
        <v>168</v>
      </c>
      <c r="F16" s="198">
        <v>19700</v>
      </c>
      <c r="G16" s="199"/>
      <c r="H16" s="199"/>
      <c r="I16" s="199"/>
      <c r="J16" s="199"/>
      <c r="K16" s="199"/>
      <c r="L16" s="269"/>
      <c r="M16" s="198"/>
      <c r="N16" s="198">
        <v>750</v>
      </c>
      <c r="O16" s="248"/>
      <c r="P16" s="198">
        <f t="shared" si="0"/>
        <v>18950</v>
      </c>
      <c r="Q16" s="236">
        <v>750</v>
      </c>
      <c r="R16" s="238"/>
    </row>
    <row r="17" spans="1:18" s="200" customFormat="1" ht="20.25" customHeight="1">
      <c r="A17" s="235">
        <v>11</v>
      </c>
      <c r="B17" s="196" t="s">
        <v>47</v>
      </c>
      <c r="C17" s="199" t="s">
        <v>48</v>
      </c>
      <c r="D17" s="199" t="s">
        <v>44</v>
      </c>
      <c r="E17" s="198" t="s">
        <v>168</v>
      </c>
      <c r="F17" s="198">
        <v>17600</v>
      </c>
      <c r="G17" s="199"/>
      <c r="H17" s="199"/>
      <c r="I17" s="199"/>
      <c r="J17" s="199"/>
      <c r="K17" s="199"/>
      <c r="L17" s="269"/>
      <c r="M17" s="198"/>
      <c r="N17" s="198">
        <v>750</v>
      </c>
      <c r="O17" s="248"/>
      <c r="P17" s="198">
        <f t="shared" si="0"/>
        <v>16850</v>
      </c>
      <c r="Q17" s="236">
        <v>750</v>
      </c>
      <c r="R17" s="238"/>
    </row>
    <row r="18" spans="1:18" s="200" customFormat="1" ht="20.25" customHeight="1">
      <c r="A18" s="235">
        <v>12</v>
      </c>
      <c r="B18" s="196" t="s">
        <v>49</v>
      </c>
      <c r="C18" s="199" t="s">
        <v>50</v>
      </c>
      <c r="D18" s="199" t="s">
        <v>37</v>
      </c>
      <c r="E18" s="198" t="s">
        <v>168</v>
      </c>
      <c r="F18" s="198">
        <v>25000</v>
      </c>
      <c r="G18" s="199"/>
      <c r="H18" s="199"/>
      <c r="I18" s="199"/>
      <c r="J18" s="199"/>
      <c r="K18" s="199"/>
      <c r="L18" s="269"/>
      <c r="M18" s="198"/>
      <c r="N18" s="198">
        <v>750</v>
      </c>
      <c r="O18" s="248"/>
      <c r="P18" s="198">
        <f t="shared" si="0"/>
        <v>24250</v>
      </c>
      <c r="Q18" s="236">
        <v>750</v>
      </c>
      <c r="R18" s="238"/>
    </row>
    <row r="19" spans="1:18" s="200" customFormat="1" ht="20.25" customHeight="1">
      <c r="A19" s="235">
        <v>13</v>
      </c>
      <c r="B19" s="196" t="s">
        <v>51</v>
      </c>
      <c r="C19" s="199" t="s">
        <v>52</v>
      </c>
      <c r="D19" s="199" t="s">
        <v>44</v>
      </c>
      <c r="E19" s="198" t="s">
        <v>168</v>
      </c>
      <c r="F19" s="198">
        <v>22700</v>
      </c>
      <c r="G19" s="199"/>
      <c r="H19" s="199"/>
      <c r="I19" s="199"/>
      <c r="J19" s="199"/>
      <c r="K19" s="199"/>
      <c r="L19" s="269"/>
      <c r="M19" s="198"/>
      <c r="N19" s="198">
        <v>750</v>
      </c>
      <c r="O19" s="248"/>
      <c r="P19" s="198">
        <f t="shared" si="0"/>
        <v>21950</v>
      </c>
      <c r="Q19" s="236">
        <v>750</v>
      </c>
      <c r="R19" s="238"/>
    </row>
    <row r="20" spans="1:18" s="194" customFormat="1" ht="20.25" customHeight="1">
      <c r="A20" s="255">
        <v>14</v>
      </c>
      <c r="B20" s="192" t="s">
        <v>53</v>
      </c>
      <c r="C20" s="191" t="s">
        <v>54</v>
      </c>
      <c r="D20" s="191" t="s">
        <v>55</v>
      </c>
      <c r="E20" s="193" t="s">
        <v>169</v>
      </c>
      <c r="F20" s="193">
        <v>23500</v>
      </c>
      <c r="G20" s="191"/>
      <c r="H20" s="191"/>
      <c r="I20" s="191"/>
      <c r="J20" s="191"/>
      <c r="K20" s="191"/>
      <c r="L20" s="278"/>
      <c r="M20" s="193"/>
      <c r="N20" s="193">
        <v>750</v>
      </c>
      <c r="O20" s="261"/>
      <c r="P20" s="193">
        <f t="shared" si="0"/>
        <v>22750</v>
      </c>
      <c r="Q20" s="256">
        <v>750</v>
      </c>
      <c r="R20" s="257"/>
    </row>
    <row r="21" spans="1:18" s="194" customFormat="1" ht="20.25" customHeight="1">
      <c r="A21" s="255">
        <v>15</v>
      </c>
      <c r="B21" s="192" t="s">
        <v>56</v>
      </c>
      <c r="C21" s="191" t="s">
        <v>57</v>
      </c>
      <c r="D21" s="191" t="s">
        <v>58</v>
      </c>
      <c r="E21" s="193" t="s">
        <v>169</v>
      </c>
      <c r="F21" s="193">
        <v>25000</v>
      </c>
      <c r="G21" s="191"/>
      <c r="H21" s="191"/>
      <c r="I21" s="191"/>
      <c r="J21" s="191"/>
      <c r="K21" s="191"/>
      <c r="L21" s="278"/>
      <c r="M21" s="193"/>
      <c r="N21" s="193">
        <v>750</v>
      </c>
      <c r="O21" s="261"/>
      <c r="P21" s="193">
        <f t="shared" si="0"/>
        <v>24250</v>
      </c>
      <c r="Q21" s="256">
        <v>750</v>
      </c>
      <c r="R21" s="257"/>
    </row>
    <row r="22" spans="1:18" s="200" customFormat="1" ht="20.25" customHeight="1">
      <c r="A22" s="235">
        <v>16</v>
      </c>
      <c r="B22" s="196" t="s">
        <v>60</v>
      </c>
      <c r="C22" s="199" t="s">
        <v>61</v>
      </c>
      <c r="D22" s="199" t="s">
        <v>44</v>
      </c>
      <c r="E22" s="198" t="s">
        <v>168</v>
      </c>
      <c r="F22" s="198">
        <v>25000</v>
      </c>
      <c r="G22" s="199"/>
      <c r="H22" s="199"/>
      <c r="I22" s="199"/>
      <c r="J22" s="199"/>
      <c r="K22" s="199"/>
      <c r="L22" s="269"/>
      <c r="M22" s="198"/>
      <c r="N22" s="198">
        <v>750</v>
      </c>
      <c r="O22" s="248"/>
      <c r="P22" s="198">
        <f t="shared" si="0"/>
        <v>24250</v>
      </c>
      <c r="Q22" s="236">
        <v>750</v>
      </c>
      <c r="R22" s="238"/>
    </row>
    <row r="23" spans="1:18" s="200" customFormat="1" ht="20.25" customHeight="1">
      <c r="A23" s="235">
        <v>17</v>
      </c>
      <c r="B23" s="196" t="s">
        <v>62</v>
      </c>
      <c r="C23" s="199" t="s">
        <v>63</v>
      </c>
      <c r="D23" s="199" t="s">
        <v>44</v>
      </c>
      <c r="E23" s="198" t="s">
        <v>168</v>
      </c>
      <c r="F23" s="198">
        <v>25000</v>
      </c>
      <c r="G23" s="199"/>
      <c r="H23" s="199"/>
      <c r="I23" s="199"/>
      <c r="J23" s="199"/>
      <c r="K23" s="199"/>
      <c r="L23" s="269"/>
      <c r="M23" s="198"/>
      <c r="N23" s="198">
        <v>750</v>
      </c>
      <c r="O23" s="248"/>
      <c r="P23" s="198">
        <f t="shared" si="0"/>
        <v>24250</v>
      </c>
      <c r="Q23" s="236">
        <v>750</v>
      </c>
      <c r="R23" s="238"/>
    </row>
    <row r="24" spans="1:18" s="200" customFormat="1" ht="20.25" customHeight="1">
      <c r="A24" s="235">
        <v>18</v>
      </c>
      <c r="B24" s="196" t="s">
        <v>64</v>
      </c>
      <c r="C24" s="199" t="s">
        <v>65</v>
      </c>
      <c r="D24" s="199" t="s">
        <v>44</v>
      </c>
      <c r="E24" s="198" t="s">
        <v>168</v>
      </c>
      <c r="F24" s="198">
        <v>25000</v>
      </c>
      <c r="G24" s="199"/>
      <c r="H24" s="199"/>
      <c r="I24" s="199"/>
      <c r="J24" s="199"/>
      <c r="K24" s="199"/>
      <c r="L24" s="269"/>
      <c r="M24" s="198"/>
      <c r="N24" s="198">
        <v>750</v>
      </c>
      <c r="O24" s="248"/>
      <c r="P24" s="198">
        <f t="shared" si="0"/>
        <v>24250</v>
      </c>
      <c r="Q24" s="236">
        <v>750</v>
      </c>
      <c r="R24" s="238"/>
    </row>
    <row r="25" spans="1:18" s="200" customFormat="1" ht="20.25" customHeight="1">
      <c r="A25" s="235">
        <v>19</v>
      </c>
      <c r="B25" s="196" t="s">
        <v>66</v>
      </c>
      <c r="C25" s="199" t="s">
        <v>67</v>
      </c>
      <c r="D25" s="199" t="s">
        <v>44</v>
      </c>
      <c r="E25" s="198" t="s">
        <v>168</v>
      </c>
      <c r="F25" s="198">
        <v>25000</v>
      </c>
      <c r="G25" s="199"/>
      <c r="H25" s="199"/>
      <c r="I25" s="199"/>
      <c r="J25" s="199"/>
      <c r="K25" s="199"/>
      <c r="L25" s="269"/>
      <c r="M25" s="198"/>
      <c r="N25" s="198">
        <v>750</v>
      </c>
      <c r="O25" s="248"/>
      <c r="P25" s="198">
        <f t="shared" si="0"/>
        <v>24250</v>
      </c>
      <c r="Q25" s="236">
        <v>750</v>
      </c>
      <c r="R25" s="238"/>
    </row>
    <row r="26" spans="1:18" s="200" customFormat="1" ht="20.25" customHeight="1">
      <c r="A26" s="235">
        <v>20</v>
      </c>
      <c r="B26" s="196" t="s">
        <v>68</v>
      </c>
      <c r="C26" s="199" t="s">
        <v>69</v>
      </c>
      <c r="D26" s="199" t="s">
        <v>44</v>
      </c>
      <c r="E26" s="198" t="s">
        <v>168</v>
      </c>
      <c r="F26" s="198">
        <v>25000</v>
      </c>
      <c r="G26" s="199"/>
      <c r="H26" s="199"/>
      <c r="I26" s="199"/>
      <c r="J26" s="199"/>
      <c r="K26" s="199"/>
      <c r="L26" s="269"/>
      <c r="M26" s="198"/>
      <c r="N26" s="198">
        <v>750</v>
      </c>
      <c r="O26" s="248"/>
      <c r="P26" s="198">
        <f t="shared" si="0"/>
        <v>24250</v>
      </c>
      <c r="Q26" s="236">
        <v>750</v>
      </c>
      <c r="R26" s="238"/>
    </row>
    <row r="27" spans="1:18" s="200" customFormat="1" ht="20.25" customHeight="1">
      <c r="A27" s="235">
        <v>21</v>
      </c>
      <c r="B27" s="196" t="s">
        <v>70</v>
      </c>
      <c r="C27" s="199" t="s">
        <v>71</v>
      </c>
      <c r="D27" s="199" t="s">
        <v>72</v>
      </c>
      <c r="E27" s="198" t="s">
        <v>168</v>
      </c>
      <c r="F27" s="198">
        <f>+H27*I27</f>
        <v>8600</v>
      </c>
      <c r="G27" s="199"/>
      <c r="H27" s="199">
        <v>400</v>
      </c>
      <c r="I27" s="199">
        <v>21.5</v>
      </c>
      <c r="J27" s="199"/>
      <c r="K27" s="199"/>
      <c r="L27" s="269"/>
      <c r="M27" s="198"/>
      <c r="N27" s="198">
        <f>ROUND(F27*5%,0)</f>
        <v>430</v>
      </c>
      <c r="O27" s="248"/>
      <c r="P27" s="198">
        <f t="shared" si="0"/>
        <v>8170</v>
      </c>
      <c r="Q27" s="236">
        <f>ROUND(F27*5%,0)</f>
        <v>430</v>
      </c>
      <c r="R27" s="198"/>
    </row>
    <row r="28" spans="1:18" s="200" customFormat="1" ht="20.25" customHeight="1">
      <c r="A28" s="235">
        <v>22</v>
      </c>
      <c r="B28" s="196" t="s">
        <v>73</v>
      </c>
      <c r="C28" s="199" t="s">
        <v>74</v>
      </c>
      <c r="D28" s="199" t="s">
        <v>72</v>
      </c>
      <c r="E28" s="198" t="s">
        <v>168</v>
      </c>
      <c r="F28" s="198">
        <f>+H28*I28</f>
        <v>7200</v>
      </c>
      <c r="G28" s="199"/>
      <c r="H28" s="199">
        <v>360</v>
      </c>
      <c r="I28" s="199">
        <v>20</v>
      </c>
      <c r="J28" s="199"/>
      <c r="K28" s="199"/>
      <c r="L28" s="269"/>
      <c r="M28" s="198"/>
      <c r="N28" s="198">
        <f>ROUND(F28*5%,0)</f>
        <v>360</v>
      </c>
      <c r="O28" s="248"/>
      <c r="P28" s="198">
        <f t="shared" si="0"/>
        <v>6840</v>
      </c>
      <c r="Q28" s="236">
        <f>ROUND(F28*5%,0)</f>
        <v>360</v>
      </c>
      <c r="R28" s="198"/>
    </row>
    <row r="29" spans="1:18" s="200" customFormat="1" ht="20.25" customHeight="1">
      <c r="A29" s="235">
        <v>23</v>
      </c>
      <c r="B29" s="196" t="s">
        <v>75</v>
      </c>
      <c r="C29" s="199" t="s">
        <v>76</v>
      </c>
      <c r="D29" s="199" t="s">
        <v>44</v>
      </c>
      <c r="E29" s="198" t="s">
        <v>168</v>
      </c>
      <c r="F29" s="198">
        <v>25000</v>
      </c>
      <c r="G29" s="199"/>
      <c r="H29" s="199"/>
      <c r="I29" s="199"/>
      <c r="J29" s="199"/>
      <c r="K29" s="199"/>
      <c r="L29" s="269"/>
      <c r="M29" s="198"/>
      <c r="N29" s="198">
        <v>750</v>
      </c>
      <c r="O29" s="248"/>
      <c r="P29" s="198">
        <f t="shared" si="0"/>
        <v>24250</v>
      </c>
      <c r="Q29" s="236">
        <v>750</v>
      </c>
      <c r="R29" s="238"/>
    </row>
    <row r="30" spans="1:18" s="194" customFormat="1" ht="20.25" customHeight="1">
      <c r="A30" s="255">
        <v>24</v>
      </c>
      <c r="B30" s="192" t="s">
        <v>77</v>
      </c>
      <c r="C30" s="191" t="s">
        <v>78</v>
      </c>
      <c r="D30" s="191" t="s">
        <v>79</v>
      </c>
      <c r="E30" s="193" t="s">
        <v>169</v>
      </c>
      <c r="F30" s="193">
        <v>15500</v>
      </c>
      <c r="G30" s="258" t="s">
        <v>80</v>
      </c>
      <c r="H30" s="191"/>
      <c r="I30" s="191"/>
      <c r="J30" s="191"/>
      <c r="K30" s="191"/>
      <c r="L30" s="278"/>
      <c r="M30" s="193"/>
      <c r="N30" s="193">
        <v>750</v>
      </c>
      <c r="O30" s="261"/>
      <c r="P30" s="193">
        <f t="shared" si="0"/>
        <v>14750</v>
      </c>
      <c r="Q30" s="256">
        <v>750</v>
      </c>
      <c r="R30" s="257"/>
    </row>
    <row r="31" spans="1:18" s="262" customFormat="1" ht="20.25" customHeight="1">
      <c r="A31" s="255">
        <v>25</v>
      </c>
      <c r="B31" s="259" t="s">
        <v>84</v>
      </c>
      <c r="C31" s="260" t="s">
        <v>85</v>
      </c>
      <c r="D31" s="260" t="s">
        <v>32</v>
      </c>
      <c r="E31" s="261" t="s">
        <v>169</v>
      </c>
      <c r="F31" s="261">
        <v>15500</v>
      </c>
      <c r="G31" s="258" t="s">
        <v>83</v>
      </c>
      <c r="H31" s="260"/>
      <c r="I31" s="260"/>
      <c r="J31" s="260"/>
      <c r="K31" s="260"/>
      <c r="L31" s="278"/>
      <c r="M31" s="193"/>
      <c r="N31" s="193">
        <v>750</v>
      </c>
      <c r="O31" s="261"/>
      <c r="P31" s="193">
        <f t="shared" si="0"/>
        <v>14750</v>
      </c>
      <c r="Q31" s="256">
        <v>750</v>
      </c>
      <c r="R31" s="257"/>
    </row>
    <row r="32" spans="1:18" s="200" customFormat="1" ht="20.25" customHeight="1">
      <c r="A32" s="235">
        <v>26</v>
      </c>
      <c r="B32" s="196" t="s">
        <v>86</v>
      </c>
      <c r="C32" s="199" t="s">
        <v>87</v>
      </c>
      <c r="D32" s="199" t="s">
        <v>44</v>
      </c>
      <c r="E32" s="198" t="s">
        <v>168</v>
      </c>
      <c r="F32" s="198">
        <v>25000</v>
      </c>
      <c r="G32" s="239" t="s">
        <v>88</v>
      </c>
      <c r="H32" s="199"/>
      <c r="I32" s="199"/>
      <c r="J32" s="199"/>
      <c r="K32" s="199"/>
      <c r="L32" s="269"/>
      <c r="M32" s="198"/>
      <c r="N32" s="198">
        <v>750</v>
      </c>
      <c r="O32" s="248"/>
      <c r="P32" s="198">
        <f t="shared" si="0"/>
        <v>24250</v>
      </c>
      <c r="Q32" s="236">
        <v>750</v>
      </c>
      <c r="R32" s="240"/>
    </row>
    <row r="33" spans="1:18" s="200" customFormat="1" ht="20.25" customHeight="1">
      <c r="A33" s="235">
        <v>27</v>
      </c>
      <c r="B33" s="196" t="s">
        <v>89</v>
      </c>
      <c r="C33" s="199" t="s">
        <v>90</v>
      </c>
      <c r="D33" s="199" t="s">
        <v>72</v>
      </c>
      <c r="E33" s="198" t="s">
        <v>168</v>
      </c>
      <c r="F33" s="198">
        <f>+H33*I33</f>
        <v>7600</v>
      </c>
      <c r="G33" s="239" t="s">
        <v>88</v>
      </c>
      <c r="H33" s="199">
        <v>380</v>
      </c>
      <c r="I33" s="199">
        <v>20</v>
      </c>
      <c r="J33" s="199"/>
      <c r="K33" s="199"/>
      <c r="L33" s="269"/>
      <c r="M33" s="198"/>
      <c r="N33" s="198">
        <f>ROUND(F33*5%,0)</f>
        <v>380</v>
      </c>
      <c r="O33" s="248"/>
      <c r="P33" s="198">
        <f t="shared" si="0"/>
        <v>7220</v>
      </c>
      <c r="Q33" s="236">
        <f>ROUND(F33*5%,0)</f>
        <v>380</v>
      </c>
      <c r="R33" s="240"/>
    </row>
    <row r="34" spans="1:18" s="194" customFormat="1" ht="20.25" customHeight="1">
      <c r="A34" s="255">
        <v>28</v>
      </c>
      <c r="B34" s="192" t="s">
        <v>91</v>
      </c>
      <c r="C34" s="191" t="s">
        <v>92</v>
      </c>
      <c r="D34" s="191" t="s">
        <v>32</v>
      </c>
      <c r="E34" s="193" t="s">
        <v>169</v>
      </c>
      <c r="F34" s="193">
        <v>16200</v>
      </c>
      <c r="G34" s="263" t="s">
        <v>93</v>
      </c>
      <c r="H34" s="191"/>
      <c r="I34" s="191"/>
      <c r="J34" s="191"/>
      <c r="K34" s="191"/>
      <c r="L34" s="278"/>
      <c r="M34" s="193"/>
      <c r="N34" s="193">
        <v>750</v>
      </c>
      <c r="O34" s="261"/>
      <c r="P34" s="193">
        <f t="shared" si="0"/>
        <v>15450</v>
      </c>
      <c r="Q34" s="256">
        <v>750</v>
      </c>
      <c r="R34" s="257"/>
    </row>
    <row r="35" spans="1:18" s="200" customFormat="1" ht="20.25" customHeight="1">
      <c r="A35" s="235">
        <v>29</v>
      </c>
      <c r="B35" s="196" t="s">
        <v>94</v>
      </c>
      <c r="C35" s="201">
        <v>6016200526744</v>
      </c>
      <c r="D35" s="199" t="s">
        <v>95</v>
      </c>
      <c r="E35" s="198" t="s">
        <v>168</v>
      </c>
      <c r="F35" s="198">
        <f>H35*I35</f>
        <v>6930</v>
      </c>
      <c r="G35" s="239" t="s">
        <v>96</v>
      </c>
      <c r="H35" s="199">
        <v>330</v>
      </c>
      <c r="I35" s="199">
        <v>21</v>
      </c>
      <c r="J35" s="199"/>
      <c r="K35" s="199"/>
      <c r="L35" s="269"/>
      <c r="M35" s="198"/>
      <c r="N35" s="198">
        <f>ROUND(F35*5%,0)</f>
        <v>347</v>
      </c>
      <c r="O35" s="248"/>
      <c r="P35" s="198">
        <f t="shared" si="0"/>
        <v>6583</v>
      </c>
      <c r="Q35" s="236">
        <f>ROUND(F35*5%,0)</f>
        <v>347</v>
      </c>
      <c r="R35" s="240"/>
    </row>
    <row r="36" spans="1:18" s="200" customFormat="1" ht="20.25" customHeight="1">
      <c r="A36" s="235">
        <v>30</v>
      </c>
      <c r="B36" s="196" t="s">
        <v>97</v>
      </c>
      <c r="C36" s="201">
        <v>6016200526680</v>
      </c>
      <c r="D36" s="199" t="s">
        <v>95</v>
      </c>
      <c r="E36" s="198" t="s">
        <v>168</v>
      </c>
      <c r="F36" s="198">
        <f t="shared" ref="F36:F42" si="1">H36*I36</f>
        <v>6930</v>
      </c>
      <c r="G36" s="239" t="s">
        <v>96</v>
      </c>
      <c r="H36" s="199">
        <v>330</v>
      </c>
      <c r="I36" s="199">
        <v>21</v>
      </c>
      <c r="J36" s="199"/>
      <c r="K36" s="199"/>
      <c r="L36" s="269"/>
      <c r="M36" s="198"/>
      <c r="N36" s="198">
        <f t="shared" ref="N36:N44" si="2">ROUND(F36*5%,0)</f>
        <v>347</v>
      </c>
      <c r="O36" s="248"/>
      <c r="P36" s="198">
        <f t="shared" si="0"/>
        <v>6583</v>
      </c>
      <c r="Q36" s="236">
        <f t="shared" ref="Q36:Q51" si="3">ROUND(F36*5%,0)</f>
        <v>347</v>
      </c>
      <c r="R36" s="240"/>
    </row>
    <row r="37" spans="1:18" s="200" customFormat="1" ht="20.25" customHeight="1">
      <c r="A37" s="235">
        <v>31</v>
      </c>
      <c r="B37" s="196" t="s">
        <v>98</v>
      </c>
      <c r="C37" s="201">
        <v>6016200526639</v>
      </c>
      <c r="D37" s="199" t="s">
        <v>95</v>
      </c>
      <c r="E37" s="198" t="s">
        <v>168</v>
      </c>
      <c r="F37" s="198">
        <f t="shared" si="1"/>
        <v>6930</v>
      </c>
      <c r="G37" s="239" t="s">
        <v>96</v>
      </c>
      <c r="H37" s="199">
        <v>330</v>
      </c>
      <c r="I37" s="199">
        <v>21</v>
      </c>
      <c r="J37" s="199"/>
      <c r="K37" s="199"/>
      <c r="L37" s="269"/>
      <c r="M37" s="198"/>
      <c r="N37" s="198">
        <f t="shared" si="2"/>
        <v>347</v>
      </c>
      <c r="O37" s="248"/>
      <c r="P37" s="198">
        <f t="shared" si="0"/>
        <v>6583</v>
      </c>
      <c r="Q37" s="236">
        <f t="shared" si="3"/>
        <v>347</v>
      </c>
      <c r="R37" s="198"/>
    </row>
    <row r="38" spans="1:18" s="200" customFormat="1" ht="20.25" customHeight="1">
      <c r="A38" s="235">
        <v>32</v>
      </c>
      <c r="B38" s="196" t="s">
        <v>99</v>
      </c>
      <c r="C38" s="201">
        <v>6016200526591</v>
      </c>
      <c r="D38" s="199" t="s">
        <v>95</v>
      </c>
      <c r="E38" s="198" t="s">
        <v>168</v>
      </c>
      <c r="F38" s="198">
        <f t="shared" si="1"/>
        <v>6930</v>
      </c>
      <c r="G38" s="239" t="s">
        <v>96</v>
      </c>
      <c r="H38" s="199">
        <v>330</v>
      </c>
      <c r="I38" s="199">
        <v>21</v>
      </c>
      <c r="J38" s="199"/>
      <c r="K38" s="199"/>
      <c r="L38" s="269"/>
      <c r="M38" s="198"/>
      <c r="N38" s="198">
        <f t="shared" si="2"/>
        <v>347</v>
      </c>
      <c r="O38" s="248"/>
      <c r="P38" s="198">
        <f t="shared" si="0"/>
        <v>6583</v>
      </c>
      <c r="Q38" s="236">
        <f t="shared" si="3"/>
        <v>347</v>
      </c>
      <c r="R38" s="198"/>
    </row>
    <row r="39" spans="1:18" s="246" customFormat="1" ht="20.25" customHeight="1">
      <c r="A39" s="235">
        <v>33</v>
      </c>
      <c r="B39" s="241" t="s">
        <v>108</v>
      </c>
      <c r="C39" s="242" t="s">
        <v>109</v>
      </c>
      <c r="D39" s="242" t="s">
        <v>72</v>
      </c>
      <c r="E39" s="198" t="s">
        <v>168</v>
      </c>
      <c r="F39" s="198">
        <f t="shared" si="1"/>
        <v>8400</v>
      </c>
      <c r="G39" s="243" t="s">
        <v>107</v>
      </c>
      <c r="H39" s="242">
        <v>400</v>
      </c>
      <c r="I39" s="242">
        <v>21</v>
      </c>
      <c r="J39" s="242"/>
      <c r="K39" s="242"/>
      <c r="L39" s="270"/>
      <c r="M39" s="248"/>
      <c r="N39" s="198">
        <f t="shared" si="2"/>
        <v>420</v>
      </c>
      <c r="O39" s="248"/>
      <c r="P39" s="198">
        <f t="shared" si="0"/>
        <v>7980</v>
      </c>
      <c r="Q39" s="236">
        <f t="shared" si="3"/>
        <v>420</v>
      </c>
      <c r="R39" s="198"/>
    </row>
    <row r="40" spans="1:18" s="246" customFormat="1" ht="20.25" customHeight="1">
      <c r="A40" s="235">
        <v>34</v>
      </c>
      <c r="B40" s="241" t="s">
        <v>110</v>
      </c>
      <c r="C40" s="244">
        <v>6016300837717</v>
      </c>
      <c r="D40" s="242" t="s">
        <v>95</v>
      </c>
      <c r="E40" s="198" t="s">
        <v>168</v>
      </c>
      <c r="F40" s="198">
        <f t="shared" si="1"/>
        <v>6930</v>
      </c>
      <c r="G40" s="243" t="s">
        <v>111</v>
      </c>
      <c r="H40" s="242">
        <v>330</v>
      </c>
      <c r="I40" s="242">
        <v>21</v>
      </c>
      <c r="J40" s="242"/>
      <c r="K40" s="242"/>
      <c r="L40" s="270"/>
      <c r="M40" s="248"/>
      <c r="N40" s="198">
        <f t="shared" si="2"/>
        <v>347</v>
      </c>
      <c r="O40" s="248"/>
      <c r="P40" s="198">
        <f t="shared" si="0"/>
        <v>6583</v>
      </c>
      <c r="Q40" s="236">
        <f t="shared" si="3"/>
        <v>347</v>
      </c>
      <c r="R40" s="198"/>
    </row>
    <row r="41" spans="1:18" s="246" customFormat="1" ht="20.25" customHeight="1">
      <c r="A41" s="235">
        <v>35</v>
      </c>
      <c r="B41" s="241" t="s">
        <v>112</v>
      </c>
      <c r="C41" s="244">
        <v>6016300837709</v>
      </c>
      <c r="D41" s="242" t="s">
        <v>95</v>
      </c>
      <c r="E41" s="198" t="s">
        <v>168</v>
      </c>
      <c r="F41" s="198">
        <f t="shared" si="1"/>
        <v>6600</v>
      </c>
      <c r="G41" s="243" t="s">
        <v>111</v>
      </c>
      <c r="H41" s="242">
        <v>330</v>
      </c>
      <c r="I41" s="242">
        <v>20</v>
      </c>
      <c r="J41" s="242"/>
      <c r="K41" s="242"/>
      <c r="L41" s="270"/>
      <c r="M41" s="248"/>
      <c r="N41" s="198">
        <f t="shared" si="2"/>
        <v>330</v>
      </c>
      <c r="O41" s="248"/>
      <c r="P41" s="198">
        <f t="shared" si="0"/>
        <v>6270</v>
      </c>
      <c r="Q41" s="236">
        <f t="shared" si="3"/>
        <v>330</v>
      </c>
      <c r="R41" s="198"/>
    </row>
    <row r="42" spans="1:18" s="246" customFormat="1" ht="20.25" customHeight="1">
      <c r="A42" s="235">
        <v>36</v>
      </c>
      <c r="B42" s="241" t="s">
        <v>113</v>
      </c>
      <c r="C42" s="244">
        <v>6016300837750</v>
      </c>
      <c r="D42" s="242" t="s">
        <v>95</v>
      </c>
      <c r="E42" s="198" t="s">
        <v>168</v>
      </c>
      <c r="F42" s="198">
        <f t="shared" si="1"/>
        <v>6930</v>
      </c>
      <c r="G42" s="243" t="s">
        <v>111</v>
      </c>
      <c r="H42" s="242">
        <v>330</v>
      </c>
      <c r="I42" s="242">
        <v>21</v>
      </c>
      <c r="J42" s="242"/>
      <c r="K42" s="242"/>
      <c r="L42" s="270"/>
      <c r="M42" s="248"/>
      <c r="N42" s="198">
        <f t="shared" si="2"/>
        <v>347</v>
      </c>
      <c r="O42" s="248"/>
      <c r="P42" s="198">
        <f t="shared" si="0"/>
        <v>6583</v>
      </c>
      <c r="Q42" s="236">
        <f t="shared" si="3"/>
        <v>347</v>
      </c>
      <c r="R42" s="242"/>
    </row>
    <row r="43" spans="1:18" s="200" customFormat="1" ht="20.25" customHeight="1">
      <c r="A43" s="235">
        <v>37</v>
      </c>
      <c r="B43" s="196" t="s">
        <v>100</v>
      </c>
      <c r="C43" s="201">
        <v>1101500149087</v>
      </c>
      <c r="D43" s="199" t="s">
        <v>44</v>
      </c>
      <c r="E43" s="198" t="s">
        <v>168</v>
      </c>
      <c r="F43" s="198">
        <v>25000</v>
      </c>
      <c r="G43" s="245" t="s">
        <v>101</v>
      </c>
      <c r="H43" s="199"/>
      <c r="I43" s="199"/>
      <c r="J43" s="199"/>
      <c r="K43" s="199"/>
      <c r="L43" s="269"/>
      <c r="M43" s="198"/>
      <c r="N43" s="198">
        <v>750</v>
      </c>
      <c r="O43" s="248"/>
      <c r="P43" s="198">
        <f t="shared" si="0"/>
        <v>24250</v>
      </c>
      <c r="Q43" s="236">
        <v>750</v>
      </c>
      <c r="R43" s="238"/>
    </row>
    <row r="44" spans="1:18" s="200" customFormat="1" ht="20.25" customHeight="1">
      <c r="A44" s="235">
        <v>38</v>
      </c>
      <c r="B44" s="196" t="s">
        <v>102</v>
      </c>
      <c r="C44" s="201">
        <v>220062001228</v>
      </c>
      <c r="D44" s="199" t="s">
        <v>95</v>
      </c>
      <c r="E44" s="198" t="s">
        <v>168</v>
      </c>
      <c r="F44" s="198">
        <f>+H44*I44</f>
        <v>6600</v>
      </c>
      <c r="G44" s="245" t="s">
        <v>106</v>
      </c>
      <c r="H44" s="199">
        <v>330</v>
      </c>
      <c r="I44" s="199">
        <v>20</v>
      </c>
      <c r="J44" s="199"/>
      <c r="K44" s="199"/>
      <c r="L44" s="269"/>
      <c r="M44" s="198"/>
      <c r="N44" s="198">
        <f t="shared" si="2"/>
        <v>330</v>
      </c>
      <c r="O44" s="248"/>
      <c r="P44" s="198">
        <f t="shared" si="0"/>
        <v>6270</v>
      </c>
      <c r="Q44" s="236">
        <f t="shared" si="3"/>
        <v>330</v>
      </c>
      <c r="R44" s="238"/>
    </row>
    <row r="45" spans="1:18" s="266" customFormat="1" ht="20.25" customHeight="1">
      <c r="A45" s="255">
        <v>39</v>
      </c>
      <c r="B45" s="259" t="s">
        <v>114</v>
      </c>
      <c r="C45" s="264">
        <v>1419900221235</v>
      </c>
      <c r="D45" s="260" t="s">
        <v>32</v>
      </c>
      <c r="E45" s="261" t="s">
        <v>169</v>
      </c>
      <c r="F45" s="261">
        <v>12000</v>
      </c>
      <c r="G45" s="265" t="s">
        <v>115</v>
      </c>
      <c r="H45" s="257"/>
      <c r="I45" s="257"/>
      <c r="J45" s="257"/>
      <c r="K45" s="257"/>
      <c r="L45" s="279"/>
      <c r="M45" s="280"/>
      <c r="N45" s="193">
        <f>ROUND(F45*5%,0)</f>
        <v>600</v>
      </c>
      <c r="O45" s="261"/>
      <c r="P45" s="193">
        <f t="shared" si="0"/>
        <v>11400</v>
      </c>
      <c r="Q45" s="256">
        <f t="shared" si="3"/>
        <v>600</v>
      </c>
      <c r="R45" s="257"/>
    </row>
    <row r="46" spans="1:18" s="246" customFormat="1" ht="20.25" customHeight="1">
      <c r="A46" s="235">
        <v>40</v>
      </c>
      <c r="B46" s="247" t="s">
        <v>118</v>
      </c>
      <c r="C46" s="244">
        <v>1229900643638</v>
      </c>
      <c r="D46" s="242" t="s">
        <v>44</v>
      </c>
      <c r="E46" s="248" t="s">
        <v>168</v>
      </c>
      <c r="F46" s="248">
        <v>15000</v>
      </c>
      <c r="G46" s="243" t="s">
        <v>119</v>
      </c>
      <c r="H46" s="242"/>
      <c r="I46" s="242"/>
      <c r="J46" s="242"/>
      <c r="K46" s="242"/>
      <c r="L46" s="270"/>
      <c r="M46" s="248"/>
      <c r="N46" s="198">
        <f>ROUND(F46*5%,0)</f>
        <v>750</v>
      </c>
      <c r="O46" s="248"/>
      <c r="P46" s="198">
        <f t="shared" si="0"/>
        <v>14250</v>
      </c>
      <c r="Q46" s="236">
        <f t="shared" si="3"/>
        <v>750</v>
      </c>
      <c r="R46" s="242"/>
    </row>
    <row r="47" spans="1:18" s="246" customFormat="1" ht="20.25" customHeight="1">
      <c r="A47" s="235">
        <v>41</v>
      </c>
      <c r="B47" s="247" t="s">
        <v>120</v>
      </c>
      <c r="C47" s="244">
        <v>3402000037896</v>
      </c>
      <c r="D47" s="242" t="s">
        <v>44</v>
      </c>
      <c r="E47" s="248" t="s">
        <v>168</v>
      </c>
      <c r="F47" s="248">
        <v>15000</v>
      </c>
      <c r="G47" s="243" t="s">
        <v>119</v>
      </c>
      <c r="H47" s="242"/>
      <c r="I47" s="242"/>
      <c r="J47" s="242"/>
      <c r="K47" s="242"/>
      <c r="L47" s="270"/>
      <c r="M47" s="248"/>
      <c r="N47" s="198">
        <f>ROUND(F47*5%,0)</f>
        <v>750</v>
      </c>
      <c r="O47" s="248"/>
      <c r="P47" s="198">
        <f t="shared" si="0"/>
        <v>14250</v>
      </c>
      <c r="Q47" s="236">
        <f t="shared" si="3"/>
        <v>750</v>
      </c>
      <c r="R47" s="242"/>
    </row>
    <row r="48" spans="1:18" s="246" customFormat="1" ht="20.25" customHeight="1">
      <c r="A48" s="235">
        <v>42</v>
      </c>
      <c r="B48" s="247" t="s">
        <v>121</v>
      </c>
      <c r="C48" s="244">
        <v>3341600658671</v>
      </c>
      <c r="D48" s="242" t="s">
        <v>44</v>
      </c>
      <c r="E48" s="248" t="s">
        <v>168</v>
      </c>
      <c r="F48" s="248">
        <v>15000</v>
      </c>
      <c r="G48" s="243" t="s">
        <v>119</v>
      </c>
      <c r="H48" s="242"/>
      <c r="I48" s="242"/>
      <c r="J48" s="242"/>
      <c r="K48" s="242"/>
      <c r="L48" s="270"/>
      <c r="M48" s="248"/>
      <c r="N48" s="198">
        <f>ROUND(F48*5%,0)</f>
        <v>750</v>
      </c>
      <c r="O48" s="248"/>
      <c r="P48" s="198">
        <f t="shared" si="0"/>
        <v>14250</v>
      </c>
      <c r="Q48" s="236">
        <f t="shared" si="3"/>
        <v>750</v>
      </c>
      <c r="R48" s="242"/>
    </row>
    <row r="49" spans="1:18" s="262" customFormat="1" ht="20.25" customHeight="1">
      <c r="A49" s="255">
        <v>43</v>
      </c>
      <c r="B49" s="259" t="s">
        <v>122</v>
      </c>
      <c r="C49" s="264">
        <v>3930100204585</v>
      </c>
      <c r="D49" s="260" t="s">
        <v>19</v>
      </c>
      <c r="E49" s="261" t="s">
        <v>169</v>
      </c>
      <c r="F49" s="261">
        <v>15000</v>
      </c>
      <c r="G49" s="265" t="s">
        <v>119</v>
      </c>
      <c r="H49" s="260"/>
      <c r="I49" s="260"/>
      <c r="J49" s="260"/>
      <c r="K49" s="260"/>
      <c r="L49" s="281"/>
      <c r="M49" s="261"/>
      <c r="N49" s="261">
        <v>750</v>
      </c>
      <c r="O49" s="261"/>
      <c r="P49" s="193">
        <f t="shared" si="0"/>
        <v>14250</v>
      </c>
      <c r="Q49" s="256">
        <f t="shared" si="3"/>
        <v>750</v>
      </c>
      <c r="R49" s="260"/>
    </row>
    <row r="50" spans="1:18" s="254" customFormat="1" ht="20.25" customHeight="1">
      <c r="A50" s="271">
        <v>44</v>
      </c>
      <c r="B50" s="272" t="s">
        <v>123</v>
      </c>
      <c r="C50" s="273">
        <v>1229900813291</v>
      </c>
      <c r="D50" s="238" t="s">
        <v>72</v>
      </c>
      <c r="E50" s="240" t="s">
        <v>168</v>
      </c>
      <c r="F50" s="240">
        <f>H50*I50</f>
        <v>3500</v>
      </c>
      <c r="G50" s="274" t="s">
        <v>119</v>
      </c>
      <c r="H50" s="238">
        <v>350</v>
      </c>
      <c r="I50" s="238">
        <v>10</v>
      </c>
      <c r="J50" s="238"/>
      <c r="K50" s="238"/>
      <c r="L50" s="275"/>
      <c r="M50" s="240"/>
      <c r="N50" s="240">
        <f t="shared" ref="N50:N51" si="4">ROUND(F50*5%,0)</f>
        <v>175</v>
      </c>
      <c r="O50" s="240"/>
      <c r="P50" s="240">
        <f t="shared" si="0"/>
        <v>3325</v>
      </c>
      <c r="Q50" s="276">
        <f t="shared" si="3"/>
        <v>175</v>
      </c>
      <c r="R50" s="238"/>
    </row>
    <row r="51" spans="1:18" s="254" customFormat="1" ht="20.25" customHeight="1">
      <c r="A51" s="235">
        <v>45</v>
      </c>
      <c r="B51" s="249" t="s">
        <v>138</v>
      </c>
      <c r="C51" s="250">
        <v>1461000135963</v>
      </c>
      <c r="D51" s="251" t="s">
        <v>95</v>
      </c>
      <c r="E51" s="236" t="s">
        <v>168</v>
      </c>
      <c r="F51" s="236">
        <f>H51*I51</f>
        <v>7350</v>
      </c>
      <c r="G51" s="252" t="s">
        <v>139</v>
      </c>
      <c r="H51" s="251">
        <v>350</v>
      </c>
      <c r="I51" s="251">
        <v>21</v>
      </c>
      <c r="J51" s="251"/>
      <c r="K51" s="251"/>
      <c r="L51" s="277"/>
      <c r="M51" s="236"/>
      <c r="N51" s="198">
        <f t="shared" si="4"/>
        <v>368</v>
      </c>
      <c r="O51" s="236"/>
      <c r="P51" s="198">
        <f t="shared" si="0"/>
        <v>6982</v>
      </c>
      <c r="Q51" s="236">
        <f t="shared" si="3"/>
        <v>368</v>
      </c>
      <c r="R51" s="253"/>
    </row>
    <row r="52" spans="1:18" s="86" customFormat="1" ht="25.5" customHeight="1" thickBot="1">
      <c r="A52" s="416" t="s">
        <v>103</v>
      </c>
      <c r="B52" s="417"/>
      <c r="C52" s="417"/>
      <c r="D52" s="417"/>
      <c r="E52" s="418"/>
      <c r="F52" s="89">
        <f>SUM(F7:F51)</f>
        <v>714930</v>
      </c>
      <c r="G52" s="87"/>
      <c r="H52" s="87"/>
      <c r="I52" s="87"/>
      <c r="J52" s="87"/>
      <c r="K52" s="87"/>
      <c r="L52" s="87"/>
      <c r="M52" s="87"/>
      <c r="N52" s="89">
        <f>SUM(N7:N51)</f>
        <v>27800</v>
      </c>
      <c r="O52" s="165">
        <f>SUM(O7:O51)</f>
        <v>7677</v>
      </c>
      <c r="P52" s="89">
        <f>SUM(P7:P51)</f>
        <v>679453</v>
      </c>
      <c r="Q52" s="90">
        <f>SUM(Q7:Q51)</f>
        <v>27800</v>
      </c>
      <c r="R52" s="88"/>
    </row>
    <row r="53" spans="1:18" ht="20.25" customHeight="1" thickTop="1" thickBot="1">
      <c r="A53" s="119"/>
      <c r="B53" s="3"/>
      <c r="C53" s="3"/>
      <c r="D53" s="3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20.25" customHeight="1" thickBot="1">
      <c r="A54" s="119"/>
      <c r="B54" s="50" t="s">
        <v>12</v>
      </c>
      <c r="C54" s="3"/>
      <c r="D54" s="3"/>
      <c r="E54" s="3"/>
      <c r="F54" s="39"/>
      <c r="G54" s="156" t="s">
        <v>145</v>
      </c>
      <c r="H54" s="39"/>
      <c r="I54" s="39"/>
      <c r="J54" s="39"/>
      <c r="K54" s="39"/>
      <c r="L54" s="39"/>
      <c r="M54" s="39"/>
      <c r="N54" s="39"/>
      <c r="O54" s="166"/>
      <c r="P54" s="39"/>
      <c r="R54" s="5"/>
    </row>
    <row r="55" spans="1:18" ht="20.25" customHeight="1">
      <c r="A55" s="119"/>
      <c r="B55" s="52" t="s">
        <v>104</v>
      </c>
      <c r="C55" s="149">
        <v>0</v>
      </c>
      <c r="D55" s="54" t="s">
        <v>142</v>
      </c>
      <c r="E55" s="54"/>
      <c r="F55" s="55"/>
      <c r="G55" s="62" t="s">
        <v>141</v>
      </c>
      <c r="H55" s="63">
        <v>14</v>
      </c>
      <c r="I55" s="64" t="s">
        <v>142</v>
      </c>
      <c r="J55" s="148"/>
      <c r="K55" s="148"/>
      <c r="L55" s="66"/>
      <c r="M55" s="66"/>
      <c r="N55" s="45"/>
      <c r="O55" s="167"/>
      <c r="P55" s="3"/>
      <c r="R55" s="5"/>
    </row>
    <row r="56" spans="1:18" ht="20.25" customHeight="1">
      <c r="A56" s="119"/>
      <c r="B56" s="56"/>
      <c r="C56" s="150"/>
      <c r="D56" s="47"/>
      <c r="E56" s="47"/>
      <c r="F56" s="57"/>
      <c r="G56" s="65" t="s">
        <v>144</v>
      </c>
      <c r="H56" s="66">
        <v>31</v>
      </c>
      <c r="I56" s="67" t="s">
        <v>142</v>
      </c>
      <c r="J56" s="148"/>
      <c r="K56" s="148"/>
      <c r="L56" s="66"/>
      <c r="M56" s="66"/>
      <c r="N56" s="3"/>
      <c r="O56" s="167"/>
      <c r="P56" s="3"/>
      <c r="R56" s="5"/>
    </row>
    <row r="57" spans="1:18" ht="21.75" customHeight="1" thickBot="1">
      <c r="A57" s="119"/>
      <c r="B57" s="58" t="s">
        <v>137</v>
      </c>
      <c r="C57" s="151">
        <v>0</v>
      </c>
      <c r="D57" s="60" t="s">
        <v>142</v>
      </c>
      <c r="E57" s="60"/>
      <c r="F57" s="61"/>
      <c r="G57" s="68" t="s">
        <v>147</v>
      </c>
      <c r="H57" s="69">
        <f>SUM(H55:H56)</f>
        <v>45</v>
      </c>
      <c r="I57" s="155" t="s">
        <v>142</v>
      </c>
      <c r="J57" s="154"/>
      <c r="K57" s="154"/>
      <c r="L57" s="154"/>
      <c r="M57" s="154"/>
    </row>
    <row r="59" spans="1:18" ht="43.5">
      <c r="B59" s="11" t="s">
        <v>167</v>
      </c>
      <c r="C59" s="11" t="s">
        <v>158</v>
      </c>
      <c r="D59" s="234" t="s">
        <v>176</v>
      </c>
      <c r="E59" s="234" t="s">
        <v>177</v>
      </c>
      <c r="F59" s="91" t="s">
        <v>150</v>
      </c>
      <c r="G59" s="234" t="s">
        <v>172</v>
      </c>
    </row>
    <row r="60" spans="1:18">
      <c r="B60" s="199" t="s">
        <v>174</v>
      </c>
      <c r="C60" s="197">
        <f>+F7+F12+F15+F16+F17+F18+F19+F22+F23+F24+F25+F26+F27+F28+F29+F32+F33+F35+F36+F37+F38+F39+F40+F41+F42+F43+F44+F46+F47+F48+F50+F51</f>
        <v>486030</v>
      </c>
      <c r="D60" s="197">
        <f>+Q7+Q12+Q15+Q16+Q17+Q18+Q19+Q22+Q23+Q24+Q25+Q26+Q27+Q28+Q29+Q32+Q33+Q35+Q36+Q37+Q38+Q39+Q40+Q41+Q42+Q43+Q44+Q46+Q47+Q48+Q50+Q51</f>
        <v>18355</v>
      </c>
      <c r="E60" s="197">
        <f>+N7+N12+N15+N16+N17+N18+N19+N22+N23+N24+N25+N26+N27+N28+N29+N32+N33+N35+N36+N37+N38+N39+N40+N41+N42+N43+N44+N46+N47+N48+N50+N51</f>
        <v>18355</v>
      </c>
      <c r="F60" s="197">
        <v>0</v>
      </c>
      <c r="G60" s="197">
        <f>+D60+E60</f>
        <v>36710</v>
      </c>
    </row>
    <row r="61" spans="1:18">
      <c r="B61" s="191" t="s">
        <v>175</v>
      </c>
      <c r="C61" s="204">
        <f>+F8+F9+F10+F11+F13+F14+F20+F21+F30+F31+F34+F45+F49</f>
        <v>228900</v>
      </c>
      <c r="D61" s="204">
        <f>+Q8+Q9+Q10+Q11+Q13+Q14+Q20+Q21+Q30+Q31+Q34+Q45+Q49</f>
        <v>9445</v>
      </c>
      <c r="E61" s="204">
        <f>+N8+N9+N10+N11+N13+N14+N20+N21+N30+N31+N34+N45+N49</f>
        <v>9445</v>
      </c>
      <c r="F61" s="204">
        <f>+O10+O13+O14</f>
        <v>7677</v>
      </c>
      <c r="G61" s="204">
        <f>+D61+E61</f>
        <v>18890</v>
      </c>
    </row>
    <row r="62" spans="1:18" ht="24">
      <c r="B62" s="195" t="s">
        <v>147</v>
      </c>
      <c r="C62" s="233">
        <f>SUM(C60:C61)</f>
        <v>714930</v>
      </c>
      <c r="D62" s="233">
        <f>SUM(D60:D61)</f>
        <v>27800</v>
      </c>
      <c r="E62" s="233">
        <f>SUM(E60:E61)</f>
        <v>27800</v>
      </c>
      <c r="F62" s="233">
        <f>SUM(F60:F61)</f>
        <v>7677</v>
      </c>
      <c r="G62" s="233">
        <f>SUM(G60:G61)</f>
        <v>55600</v>
      </c>
    </row>
  </sheetData>
  <autoFilter ref="A5:R52" xr:uid="{CF29622D-89C8-4030-BC68-91E78755C1D6}">
    <filterColumn colId="7" showButton="0"/>
    <filterColumn colId="9" showButton="0"/>
    <filterColumn colId="11" showButton="0"/>
    <filterColumn colId="12" showButton="0"/>
    <filterColumn colId="13" showButton="0"/>
  </autoFilter>
  <mergeCells count="17"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J5:K5"/>
    <mergeCell ref="L5:O5"/>
    <mergeCell ref="P5:P6"/>
    <mergeCell ref="Q5:Q6"/>
    <mergeCell ref="R5:R6"/>
    <mergeCell ref="E5:E6"/>
    <mergeCell ref="A52:E52"/>
  </mergeCells>
  <printOptions horizontalCentered="1"/>
  <pageMargins left="0.23622047244094491" right="0.23622047244094491" top="0.74803149606299213" bottom="0.13" header="0.31496062992125984" footer="0.31496062992125984"/>
  <pageSetup paperSize="9" scale="64" orientation="landscape" horizontalDpi="4294967293" r:id="rId1"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C721-E574-498E-96B0-131640229684}">
  <dimension ref="A1:Q56"/>
  <sheetViews>
    <sheetView view="pageBreakPreview" zoomScale="90" zoomScaleNormal="90" zoomScaleSheetLayoutView="90" workbookViewId="0">
      <pane xSplit="5" ySplit="6" topLeftCell="F49" activePane="bottomRight" state="frozen"/>
      <selection pane="topRight" activeCell="G1" sqref="G1"/>
      <selection pane="bottomLeft" activeCell="A7" sqref="A7"/>
      <selection pane="bottomRight" activeCell="P54" sqref="P54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2.28515625" style="1" bestFit="1" customWidth="1"/>
    <col min="6" max="6" width="14.7109375" style="1" bestFit="1" customWidth="1"/>
    <col min="7" max="7" width="5" style="1" bestFit="1" customWidth="1"/>
    <col min="8" max="8" width="7.5703125" style="1" bestFit="1" customWidth="1"/>
    <col min="9" max="9" width="3.7109375" style="1" bestFit="1" customWidth="1"/>
    <col min="10" max="10" width="7" style="1" bestFit="1" customWidth="1"/>
    <col min="11" max="11" width="6.7109375" style="1" bestFit="1" customWidth="1"/>
    <col min="12" max="12" width="10" style="1" bestFit="1" customWidth="1"/>
    <col min="13" max="13" width="14.140625" style="1" bestFit="1" customWidth="1"/>
    <col min="14" max="14" width="11.85546875" style="168" bestFit="1" customWidth="1"/>
    <col min="15" max="15" width="14.42578125" style="1" bestFit="1" customWidth="1"/>
    <col min="16" max="16" width="12.42578125" style="76" bestFit="1" customWidth="1"/>
    <col min="17" max="17" width="26.85546875" style="1" bestFit="1" customWidth="1"/>
    <col min="18" max="16384" width="9" style="1"/>
  </cols>
  <sheetData>
    <row r="1" spans="1:17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>
      <c r="A3" s="381" t="s">
        <v>155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22.5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63"/>
      <c r="O4" s="9"/>
      <c r="Q4" s="9"/>
    </row>
    <row r="5" spans="1:17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09" t="s">
        <v>154</v>
      </c>
      <c r="Q5" s="407" t="s">
        <v>12</v>
      </c>
    </row>
    <row r="6" spans="1:17" ht="44.25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153</v>
      </c>
      <c r="N6" s="164" t="s">
        <v>150</v>
      </c>
      <c r="O6" s="396"/>
      <c r="P6" s="410"/>
      <c r="Q6" s="408"/>
    </row>
    <row r="7" spans="1:17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ROUND(E7*5%,0)</f>
        <v>730</v>
      </c>
      <c r="N7" s="98"/>
      <c r="O7" s="103">
        <f>SUM(E7-M7-N7)</f>
        <v>13870</v>
      </c>
      <c r="P7" s="116">
        <f>ROUND(E7*5%,0)</f>
        <v>730</v>
      </c>
      <c r="Q7" s="152"/>
    </row>
    <row r="8" spans="1:17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>ROUND(E8*5%,0)</f>
        <v>675</v>
      </c>
      <c r="N8" s="98"/>
      <c r="O8" s="103">
        <f t="shared" ref="O8:O50" si="0">SUM(E8-M8-N8)</f>
        <v>12825</v>
      </c>
      <c r="P8" s="116">
        <f t="shared" ref="P8:P9" si="1">ROUND(E8*5%,0)</f>
        <v>675</v>
      </c>
      <c r="Q8" s="100"/>
    </row>
    <row r="9" spans="1:17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ref="M9" si="2">ROUND(E9*5%,0)</f>
        <v>670</v>
      </c>
      <c r="N9" s="98"/>
      <c r="O9" s="103">
        <f t="shared" si="0"/>
        <v>12730</v>
      </c>
      <c r="P9" s="116">
        <f t="shared" si="1"/>
        <v>670</v>
      </c>
      <c r="Q9" s="100"/>
    </row>
    <row r="10" spans="1:17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750</v>
      </c>
      <c r="N10" s="98">
        <v>1785</v>
      </c>
      <c r="O10" s="103">
        <f t="shared" si="0"/>
        <v>13965</v>
      </c>
      <c r="P10" s="116">
        <v>750</v>
      </c>
      <c r="Q10" s="100"/>
    </row>
    <row r="11" spans="1:17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750</v>
      </c>
      <c r="N11" s="98"/>
      <c r="O11" s="103">
        <f t="shared" si="0"/>
        <v>16550</v>
      </c>
      <c r="P11" s="116">
        <v>750</v>
      </c>
      <c r="Q11" s="100"/>
    </row>
    <row r="12" spans="1:17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750</v>
      </c>
      <c r="N12" s="98"/>
      <c r="O12" s="103">
        <f t="shared" si="0"/>
        <v>18250</v>
      </c>
      <c r="P12" s="116">
        <v>750</v>
      </c>
      <c r="Q12" s="100"/>
    </row>
    <row r="13" spans="1:17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750</v>
      </c>
      <c r="N13" s="98">
        <v>4076</v>
      </c>
      <c r="O13" s="103">
        <f t="shared" si="0"/>
        <v>20174</v>
      </c>
      <c r="P13" s="116">
        <v>750</v>
      </c>
      <c r="Q13" s="100"/>
    </row>
    <row r="14" spans="1:17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750</v>
      </c>
      <c r="N14" s="98">
        <v>1816</v>
      </c>
      <c r="O14" s="103">
        <f t="shared" si="0"/>
        <v>17934</v>
      </c>
      <c r="P14" s="116">
        <v>750</v>
      </c>
      <c r="Q14" s="100"/>
    </row>
    <row r="15" spans="1:17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750</v>
      </c>
      <c r="N15" s="98"/>
      <c r="O15" s="103">
        <f t="shared" si="0"/>
        <v>24250</v>
      </c>
      <c r="P15" s="116">
        <v>750</v>
      </c>
      <c r="Q15" s="100"/>
    </row>
    <row r="16" spans="1:17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750</v>
      </c>
      <c r="N16" s="98"/>
      <c r="O16" s="103">
        <f t="shared" si="0"/>
        <v>18950</v>
      </c>
      <c r="P16" s="116">
        <v>750</v>
      </c>
      <c r="Q16" s="100"/>
    </row>
    <row r="17" spans="1:17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750</v>
      </c>
      <c r="N17" s="98"/>
      <c r="O17" s="103">
        <f t="shared" si="0"/>
        <v>16850</v>
      </c>
      <c r="P17" s="116">
        <v>750</v>
      </c>
      <c r="Q17" s="100"/>
    </row>
    <row r="18" spans="1:17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750</v>
      </c>
      <c r="N18" s="98"/>
      <c r="O18" s="103">
        <f t="shared" si="0"/>
        <v>24250</v>
      </c>
      <c r="P18" s="116">
        <v>750</v>
      </c>
      <c r="Q18" s="100"/>
    </row>
    <row r="19" spans="1:17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750</v>
      </c>
      <c r="N19" s="98"/>
      <c r="O19" s="103">
        <f t="shared" si="0"/>
        <v>21950</v>
      </c>
      <c r="P19" s="116">
        <v>750</v>
      </c>
      <c r="Q19" s="100"/>
    </row>
    <row r="20" spans="1:17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750</v>
      </c>
      <c r="N20" s="98"/>
      <c r="O20" s="103">
        <f t="shared" si="0"/>
        <v>22750</v>
      </c>
      <c r="P20" s="116">
        <v>750</v>
      </c>
      <c r="Q20" s="100"/>
    </row>
    <row r="21" spans="1:17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750</v>
      </c>
      <c r="N21" s="98"/>
      <c r="O21" s="103">
        <f t="shared" si="0"/>
        <v>24250</v>
      </c>
      <c r="P21" s="116">
        <v>750</v>
      </c>
      <c r="Q21" s="100"/>
    </row>
    <row r="22" spans="1:17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750</v>
      </c>
      <c r="N22" s="98"/>
      <c r="O22" s="103">
        <f t="shared" si="0"/>
        <v>24250</v>
      </c>
      <c r="P22" s="116">
        <v>750</v>
      </c>
      <c r="Q22" s="100"/>
    </row>
    <row r="23" spans="1:17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750</v>
      </c>
      <c r="N23" s="98"/>
      <c r="O23" s="103">
        <f t="shared" si="0"/>
        <v>24250</v>
      </c>
      <c r="P23" s="116">
        <v>750</v>
      </c>
      <c r="Q23" s="100"/>
    </row>
    <row r="24" spans="1:17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750</v>
      </c>
      <c r="N24" s="98"/>
      <c r="O24" s="103">
        <f t="shared" si="0"/>
        <v>24250</v>
      </c>
      <c r="P24" s="116">
        <v>750</v>
      </c>
      <c r="Q24" s="100"/>
    </row>
    <row r="25" spans="1:17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750</v>
      </c>
      <c r="N25" s="98"/>
      <c r="O25" s="103">
        <f t="shared" si="0"/>
        <v>24250</v>
      </c>
      <c r="P25" s="116">
        <v>750</v>
      </c>
      <c r="Q25" s="100"/>
    </row>
    <row r="26" spans="1:17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750</v>
      </c>
      <c r="N26" s="98"/>
      <c r="O26" s="103">
        <f t="shared" si="0"/>
        <v>24250</v>
      </c>
      <c r="P26" s="116">
        <v>750</v>
      </c>
      <c r="Q26" s="100"/>
    </row>
    <row r="27" spans="1:17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f>+G27*H27</f>
        <v>9200</v>
      </c>
      <c r="F27" s="123"/>
      <c r="G27" s="123">
        <v>400</v>
      </c>
      <c r="H27" s="123">
        <v>23</v>
      </c>
      <c r="I27" s="123"/>
      <c r="J27" s="123"/>
      <c r="K27" s="126"/>
      <c r="L27" s="124"/>
      <c r="M27" s="124">
        <f>ROUND(E27*5%,0)</f>
        <v>460</v>
      </c>
      <c r="N27" s="135"/>
      <c r="O27" s="124">
        <f t="shared" si="0"/>
        <v>8740</v>
      </c>
      <c r="P27" s="128">
        <f>ROUND(E27*5%,0)</f>
        <v>460</v>
      </c>
      <c r="Q27" s="124"/>
    </row>
    <row r="28" spans="1:17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8280</v>
      </c>
      <c r="F28" s="123"/>
      <c r="G28" s="123">
        <v>360</v>
      </c>
      <c r="H28" s="123">
        <v>23</v>
      </c>
      <c r="I28" s="123"/>
      <c r="J28" s="123"/>
      <c r="K28" s="126"/>
      <c r="L28" s="124"/>
      <c r="M28" s="124">
        <f>ROUND(E28*5%,0)</f>
        <v>414</v>
      </c>
      <c r="N28" s="135"/>
      <c r="O28" s="124">
        <f t="shared" si="0"/>
        <v>7866</v>
      </c>
      <c r="P28" s="128">
        <f>ROUND(E28*5%,0)</f>
        <v>414</v>
      </c>
      <c r="Q28" s="124"/>
    </row>
    <row r="29" spans="1:17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750</v>
      </c>
      <c r="N29" s="98"/>
      <c r="O29" s="103">
        <f t="shared" si="0"/>
        <v>24250</v>
      </c>
      <c r="P29" s="116">
        <v>750</v>
      </c>
      <c r="Q29" s="100"/>
    </row>
    <row r="30" spans="1:17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750</v>
      </c>
      <c r="N30" s="98"/>
      <c r="O30" s="103">
        <f t="shared" si="0"/>
        <v>14750</v>
      </c>
      <c r="P30" s="116">
        <v>750</v>
      </c>
      <c r="Q30" s="100"/>
    </row>
    <row r="31" spans="1:17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750</v>
      </c>
      <c r="N31" s="98"/>
      <c r="O31" s="103">
        <f t="shared" si="0"/>
        <v>14750</v>
      </c>
      <c r="P31" s="116">
        <v>750</v>
      </c>
      <c r="Q31" s="100"/>
    </row>
    <row r="32" spans="1:17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750</v>
      </c>
      <c r="N32" s="98"/>
      <c r="O32" s="103">
        <f t="shared" si="0"/>
        <v>24250</v>
      </c>
      <c r="P32" s="116">
        <v>750</v>
      </c>
      <c r="Q32" s="102"/>
    </row>
    <row r="33" spans="1:17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8740</v>
      </c>
      <c r="F33" s="125" t="s">
        <v>88</v>
      </c>
      <c r="G33" s="123">
        <v>380</v>
      </c>
      <c r="H33" s="123">
        <v>23</v>
      </c>
      <c r="I33" s="123"/>
      <c r="J33" s="123"/>
      <c r="K33" s="126"/>
      <c r="L33" s="124"/>
      <c r="M33" s="124">
        <f>ROUND(E33*5%,0)</f>
        <v>437</v>
      </c>
      <c r="N33" s="135"/>
      <c r="O33" s="124">
        <f t="shared" si="0"/>
        <v>8303</v>
      </c>
      <c r="P33" s="128">
        <f>ROUND(E33*5%,0)</f>
        <v>437</v>
      </c>
      <c r="Q33" s="127"/>
    </row>
    <row r="34" spans="1:17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750</v>
      </c>
      <c r="N34" s="98"/>
      <c r="O34" s="103">
        <f t="shared" si="0"/>
        <v>15450</v>
      </c>
      <c r="P34" s="116">
        <v>750</v>
      </c>
      <c r="Q34" s="100"/>
    </row>
    <row r="35" spans="1:17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7260</v>
      </c>
      <c r="F35" s="125" t="s">
        <v>96</v>
      </c>
      <c r="G35" s="123">
        <v>330</v>
      </c>
      <c r="H35" s="123">
        <v>22</v>
      </c>
      <c r="I35" s="123"/>
      <c r="J35" s="123"/>
      <c r="K35" s="126"/>
      <c r="L35" s="124"/>
      <c r="M35" s="124">
        <f>ROUND(E35*5%,0)</f>
        <v>363</v>
      </c>
      <c r="N35" s="135"/>
      <c r="O35" s="124">
        <f t="shared" si="0"/>
        <v>6897</v>
      </c>
      <c r="P35" s="128">
        <f>ROUND(E35*5%,0)</f>
        <v>363</v>
      </c>
      <c r="Q35" s="127"/>
    </row>
    <row r="36" spans="1:17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7590</v>
      </c>
      <c r="F36" s="125" t="s">
        <v>96</v>
      </c>
      <c r="G36" s="123">
        <v>330</v>
      </c>
      <c r="H36" s="123">
        <v>23</v>
      </c>
      <c r="I36" s="123"/>
      <c r="J36" s="123"/>
      <c r="K36" s="126"/>
      <c r="L36" s="124"/>
      <c r="M36" s="124">
        <f t="shared" ref="M36:M44" si="4">ROUND(E36*5%,0)</f>
        <v>380</v>
      </c>
      <c r="N36" s="135"/>
      <c r="O36" s="124">
        <f t="shared" si="0"/>
        <v>7210</v>
      </c>
      <c r="P36" s="128">
        <f t="shared" ref="P36:P50" si="5">ROUND(E36*5%,0)</f>
        <v>380</v>
      </c>
      <c r="Q36" s="127"/>
    </row>
    <row r="37" spans="1:17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7920</v>
      </c>
      <c r="F37" s="125" t="s">
        <v>96</v>
      </c>
      <c r="G37" s="123">
        <v>330</v>
      </c>
      <c r="H37" s="123">
        <v>24</v>
      </c>
      <c r="I37" s="123"/>
      <c r="J37" s="123"/>
      <c r="K37" s="126"/>
      <c r="L37" s="124"/>
      <c r="M37" s="124">
        <f t="shared" si="4"/>
        <v>396</v>
      </c>
      <c r="N37" s="135"/>
      <c r="O37" s="124">
        <f t="shared" si="0"/>
        <v>7524</v>
      </c>
      <c r="P37" s="128">
        <f t="shared" si="5"/>
        <v>396</v>
      </c>
      <c r="Q37" s="124"/>
    </row>
    <row r="38" spans="1:17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7920</v>
      </c>
      <c r="F38" s="125" t="s">
        <v>96</v>
      </c>
      <c r="G38" s="123">
        <v>330</v>
      </c>
      <c r="H38" s="123">
        <v>24</v>
      </c>
      <c r="I38" s="123"/>
      <c r="J38" s="123"/>
      <c r="K38" s="126"/>
      <c r="L38" s="124"/>
      <c r="M38" s="124">
        <f t="shared" si="4"/>
        <v>396</v>
      </c>
      <c r="N38" s="135"/>
      <c r="O38" s="124">
        <f t="shared" si="0"/>
        <v>7524</v>
      </c>
      <c r="P38" s="128">
        <f t="shared" si="5"/>
        <v>396</v>
      </c>
      <c r="Q38" s="124"/>
    </row>
    <row r="39" spans="1:17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9600</v>
      </c>
      <c r="F39" s="133" t="s">
        <v>107</v>
      </c>
      <c r="G39" s="132">
        <v>400</v>
      </c>
      <c r="H39" s="132">
        <v>24</v>
      </c>
      <c r="I39" s="132"/>
      <c r="J39" s="132"/>
      <c r="K39" s="134"/>
      <c r="L39" s="135"/>
      <c r="M39" s="124">
        <f t="shared" si="4"/>
        <v>480</v>
      </c>
      <c r="N39" s="135"/>
      <c r="O39" s="124">
        <f t="shared" si="0"/>
        <v>9120</v>
      </c>
      <c r="P39" s="128">
        <f t="shared" si="5"/>
        <v>480</v>
      </c>
      <c r="Q39" s="124"/>
    </row>
    <row r="40" spans="1:17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7590</v>
      </c>
      <c r="F40" s="133" t="s">
        <v>111</v>
      </c>
      <c r="G40" s="132">
        <v>330</v>
      </c>
      <c r="H40" s="132">
        <v>23</v>
      </c>
      <c r="I40" s="132"/>
      <c r="J40" s="132"/>
      <c r="K40" s="134"/>
      <c r="L40" s="135"/>
      <c r="M40" s="124">
        <f t="shared" si="4"/>
        <v>380</v>
      </c>
      <c r="N40" s="135"/>
      <c r="O40" s="124">
        <f t="shared" si="0"/>
        <v>7210</v>
      </c>
      <c r="P40" s="128">
        <f t="shared" si="5"/>
        <v>380</v>
      </c>
      <c r="Q40" s="124"/>
    </row>
    <row r="41" spans="1:17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7920</v>
      </c>
      <c r="F41" s="133" t="s">
        <v>111</v>
      </c>
      <c r="G41" s="132">
        <v>330</v>
      </c>
      <c r="H41" s="132">
        <v>24</v>
      </c>
      <c r="I41" s="132"/>
      <c r="J41" s="132"/>
      <c r="K41" s="134"/>
      <c r="L41" s="135"/>
      <c r="M41" s="124">
        <f t="shared" si="4"/>
        <v>396</v>
      </c>
      <c r="N41" s="135"/>
      <c r="O41" s="124">
        <f t="shared" si="0"/>
        <v>7524</v>
      </c>
      <c r="P41" s="128">
        <f t="shared" si="5"/>
        <v>396</v>
      </c>
      <c r="Q41" s="124"/>
    </row>
    <row r="42" spans="1:17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7920</v>
      </c>
      <c r="F42" s="133" t="s">
        <v>111</v>
      </c>
      <c r="G42" s="132">
        <v>330</v>
      </c>
      <c r="H42" s="132">
        <v>24</v>
      </c>
      <c r="I42" s="132"/>
      <c r="J42" s="132"/>
      <c r="K42" s="134"/>
      <c r="L42" s="135"/>
      <c r="M42" s="124">
        <f t="shared" si="4"/>
        <v>396</v>
      </c>
      <c r="N42" s="135"/>
      <c r="O42" s="124">
        <f t="shared" si="0"/>
        <v>7524</v>
      </c>
      <c r="P42" s="128">
        <f t="shared" si="5"/>
        <v>396</v>
      </c>
      <c r="Q42" s="132"/>
    </row>
    <row r="43" spans="1:17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750</v>
      </c>
      <c r="N43" s="98"/>
      <c r="O43" s="103">
        <f t="shared" si="0"/>
        <v>24250</v>
      </c>
      <c r="P43" s="116">
        <v>750</v>
      </c>
      <c r="Q43" s="100"/>
    </row>
    <row r="44" spans="1:17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7920</v>
      </c>
      <c r="F44" s="138" t="s">
        <v>106</v>
      </c>
      <c r="G44" s="123">
        <v>330</v>
      </c>
      <c r="H44" s="123">
        <v>24</v>
      </c>
      <c r="I44" s="123"/>
      <c r="J44" s="123"/>
      <c r="K44" s="126"/>
      <c r="L44" s="124"/>
      <c r="M44" s="124">
        <f t="shared" si="4"/>
        <v>396</v>
      </c>
      <c r="N44" s="135"/>
      <c r="O44" s="124">
        <f t="shared" si="0"/>
        <v>7524</v>
      </c>
      <c r="P44" s="128">
        <f t="shared" si="5"/>
        <v>396</v>
      </c>
      <c r="Q44" s="139"/>
    </row>
    <row r="45" spans="1:17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>ROUND(E45*5%,0)</f>
        <v>600</v>
      </c>
      <c r="N45" s="98"/>
      <c r="O45" s="103">
        <f t="shared" si="0"/>
        <v>11400</v>
      </c>
      <c r="P45" s="116">
        <f t="shared" si="5"/>
        <v>600</v>
      </c>
      <c r="Q45" s="100"/>
    </row>
    <row r="46" spans="1:17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103">
        <f>ROUND(E46*5%,0)</f>
        <v>750</v>
      </c>
      <c r="N46" s="98"/>
      <c r="O46" s="103">
        <f t="shared" si="0"/>
        <v>14250</v>
      </c>
      <c r="P46" s="116">
        <f t="shared" si="5"/>
        <v>750</v>
      </c>
      <c r="Q46" s="95"/>
    </row>
    <row r="47" spans="1:17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103">
        <f>ROUND(E47*5%,0)</f>
        <v>750</v>
      </c>
      <c r="N47" s="98"/>
      <c r="O47" s="103">
        <f t="shared" si="0"/>
        <v>14250</v>
      </c>
      <c r="P47" s="116">
        <f t="shared" si="5"/>
        <v>750</v>
      </c>
      <c r="Q47" s="95"/>
    </row>
    <row r="48" spans="1:17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103">
        <f>ROUND(E48*5%,0)</f>
        <v>750</v>
      </c>
      <c r="N48" s="98"/>
      <c r="O48" s="103">
        <f t="shared" si="0"/>
        <v>14250</v>
      </c>
      <c r="P48" s="116">
        <f t="shared" si="5"/>
        <v>750</v>
      </c>
      <c r="Q48" s="95"/>
    </row>
    <row r="49" spans="1:17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98">
        <v>750</v>
      </c>
      <c r="N49" s="98"/>
      <c r="O49" s="103">
        <f t="shared" si="0"/>
        <v>14250</v>
      </c>
      <c r="P49" s="116">
        <f t="shared" si="5"/>
        <v>750</v>
      </c>
      <c r="Q49" s="95"/>
    </row>
    <row r="50" spans="1:17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>
        <f>G50*H50</f>
        <v>8050</v>
      </c>
      <c r="F50" s="144" t="s">
        <v>139</v>
      </c>
      <c r="G50" s="143">
        <v>350</v>
      </c>
      <c r="H50" s="143">
        <v>23</v>
      </c>
      <c r="I50" s="143"/>
      <c r="J50" s="143"/>
      <c r="K50" s="145"/>
      <c r="L50" s="128"/>
      <c r="M50" s="124">
        <f t="shared" ref="M50" si="6">ROUND(E50*5%,0)</f>
        <v>403</v>
      </c>
      <c r="N50" s="128"/>
      <c r="O50" s="124">
        <f t="shared" si="0"/>
        <v>7647</v>
      </c>
      <c r="P50" s="128">
        <f t="shared" si="5"/>
        <v>403</v>
      </c>
      <c r="Q50" s="146"/>
    </row>
    <row r="51" spans="1:17" s="86" customFormat="1" ht="22.5" thickBot="1">
      <c r="A51" s="402" t="s">
        <v>103</v>
      </c>
      <c r="B51" s="402"/>
      <c r="C51" s="402"/>
      <c r="D51" s="402"/>
      <c r="E51" s="89">
        <f>SUM(E7:E50)</f>
        <v>723410</v>
      </c>
      <c r="F51" s="87"/>
      <c r="G51" s="87"/>
      <c r="H51" s="87"/>
      <c r="I51" s="87"/>
      <c r="J51" s="87"/>
      <c r="K51" s="87"/>
      <c r="L51" s="87"/>
      <c r="M51" s="89">
        <f>SUM(M7:M50)</f>
        <v>28222</v>
      </c>
      <c r="N51" s="165">
        <f>SUM(N7:N50)</f>
        <v>7677</v>
      </c>
      <c r="O51" s="89">
        <f>SUM(O7:O50)</f>
        <v>687511</v>
      </c>
      <c r="P51" s="90">
        <f>SUM(P7:P50)</f>
        <v>28222</v>
      </c>
      <c r="Q51" s="88"/>
    </row>
    <row r="52" spans="1:17" ht="23.25" thickTop="1" thickBot="1">
      <c r="A52" s="119"/>
      <c r="B52" s="3"/>
      <c r="C52" s="3"/>
      <c r="D52" s="3"/>
      <c r="E52" s="39"/>
      <c r="F52" s="39"/>
      <c r="G52" s="39"/>
      <c r="H52" s="39"/>
      <c r="I52" s="39"/>
      <c r="J52" s="39"/>
      <c r="K52" s="39"/>
      <c r="L52" s="39"/>
      <c r="M52" s="39"/>
      <c r="N52" s="166"/>
      <c r="O52" s="39"/>
      <c r="Q52" s="5"/>
    </row>
    <row r="53" spans="1:17" ht="44.25" thickBot="1">
      <c r="A53" s="119"/>
      <c r="B53" s="50" t="s">
        <v>12</v>
      </c>
      <c r="C53" s="3"/>
      <c r="D53" s="3"/>
      <c r="E53" s="39"/>
      <c r="F53" s="156" t="s">
        <v>145</v>
      </c>
      <c r="G53" s="39"/>
      <c r="H53" s="39"/>
      <c r="I53" s="39"/>
      <c r="J53" s="39"/>
      <c r="K53" s="39"/>
      <c r="L53" s="28" t="s">
        <v>158</v>
      </c>
      <c r="M53" s="153" t="s">
        <v>159</v>
      </c>
      <c r="N53" s="164" t="s">
        <v>150</v>
      </c>
      <c r="O53" s="153" t="s">
        <v>11</v>
      </c>
      <c r="Q53" s="5"/>
    </row>
    <row r="54" spans="1:17">
      <c r="A54" s="119"/>
      <c r="B54" s="52" t="s">
        <v>156</v>
      </c>
      <c r="C54" s="149">
        <v>1</v>
      </c>
      <c r="D54" s="54" t="s">
        <v>142</v>
      </c>
      <c r="E54" s="55" t="s">
        <v>140</v>
      </c>
      <c r="F54" s="169" t="s">
        <v>141</v>
      </c>
      <c r="G54" s="170">
        <v>13</v>
      </c>
      <c r="H54" s="171" t="s">
        <v>142</v>
      </c>
      <c r="I54" s="148"/>
      <c r="J54" s="148"/>
      <c r="L54" s="16">
        <f>+E27+E28+E33+E35+E36+E37+E38+E39+E40+E41+E42+E44+E50</f>
        <v>105910</v>
      </c>
      <c r="M54" s="16">
        <f>+M27+M28+M33+M35+M36+M37+M38+M39+M40+M41+M42+M44+M50</f>
        <v>5297</v>
      </c>
      <c r="N54" s="24">
        <v>0</v>
      </c>
      <c r="O54" s="175">
        <f>+O27+O28+O33+O35+O36+O37+O38+O39+O40+O41+O42+O44+O50</f>
        <v>100613</v>
      </c>
      <c r="Q54" s="5"/>
    </row>
    <row r="55" spans="1:17">
      <c r="A55" s="119"/>
      <c r="B55" s="56" t="s">
        <v>157</v>
      </c>
      <c r="C55" s="150"/>
      <c r="D55" s="47"/>
      <c r="E55" s="57"/>
      <c r="F55" s="172" t="s">
        <v>144</v>
      </c>
      <c r="G55" s="173">
        <v>31</v>
      </c>
      <c r="H55" s="174" t="s">
        <v>142</v>
      </c>
      <c r="I55" s="148"/>
      <c r="J55" s="148"/>
      <c r="L55" s="16">
        <f>+E7+E8+E9+E10+E11+E12+E13+E14+E15+E16+E17+E18+E19+E20+E21+E22+E23+E24+E25+E26+E29+E30+E31+E32+E34+E43+E45+E46+E47+E48+E49</f>
        <v>617500</v>
      </c>
      <c r="M55" s="16">
        <f>+M7+M8+M9+M10+M11+M12+M13+M14+M15+M16+M17+M18+M19+M20+M21+M22+M23+M24+M25+M26+M29+M30+M31+M32+M34+M43+M45+M46+M47+M48+M49</f>
        <v>22925</v>
      </c>
      <c r="N55" s="24">
        <f>+N10+N13+N14</f>
        <v>7677</v>
      </c>
      <c r="O55" s="16">
        <f>+O7+O8+O9+O10+O11+O12+O13+O14+O15+O16+O17+O18+O19+O20+O21+O22+O23+O24+O25+O26+O29+O30+O31+O32+O34+O43+O45+O46+O47+O48+O49</f>
        <v>586898</v>
      </c>
      <c r="Q55" s="5"/>
    </row>
    <row r="56" spans="1:17" ht="22.5" thickBot="1">
      <c r="A56" s="119"/>
      <c r="B56" s="58" t="s">
        <v>137</v>
      </c>
      <c r="C56" s="151">
        <v>0</v>
      </c>
      <c r="D56" s="60" t="s">
        <v>142</v>
      </c>
      <c r="E56" s="61"/>
      <c r="F56" s="68" t="s">
        <v>147</v>
      </c>
      <c r="G56" s="69">
        <f>SUM(G54:G55)</f>
        <v>44</v>
      </c>
      <c r="H56" s="155" t="s">
        <v>142</v>
      </c>
      <c r="I56" s="154"/>
      <c r="J56" s="154"/>
      <c r="L56" s="176">
        <f>SUM(L54:L55)</f>
        <v>723410</v>
      </c>
      <c r="M56" s="176">
        <f>SUM(M54:M55)</f>
        <v>28222</v>
      </c>
      <c r="N56" s="177">
        <f>SUM(N54:N55)</f>
        <v>7677</v>
      </c>
      <c r="O56" s="176">
        <f>SUM(O54:O55)</f>
        <v>687511</v>
      </c>
    </row>
  </sheetData>
  <mergeCells count="16">
    <mergeCell ref="A51:D51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H5"/>
    <mergeCell ref="I5:J5"/>
    <mergeCell ref="K5:N5"/>
    <mergeCell ref="O5:O6"/>
    <mergeCell ref="P5:P6"/>
    <mergeCell ref="Q5:Q6"/>
  </mergeCells>
  <printOptions horizontalCentered="1"/>
  <pageMargins left="0.15748031496062992" right="0.19685039370078741" top="0.74803149606299213" bottom="0.11811023622047245" header="0.31496062992125984" footer="0.31496062992125984"/>
  <pageSetup paperSize="9" scale="69" orientation="landscape" horizontalDpi="4294967293" r:id="rId1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828D0-E6F4-4FB1-BD72-542959265B97}">
  <dimension ref="A1:R61"/>
  <sheetViews>
    <sheetView view="pageBreakPreview" zoomScale="90" zoomScaleNormal="90" zoomScaleSheetLayoutView="90" workbookViewId="0">
      <pane xSplit="6" ySplit="6" topLeftCell="G55" activePane="bottomRight" state="frozen"/>
      <selection pane="topRight" activeCell="G1" sqref="G1"/>
      <selection pane="bottomLeft" activeCell="A7" sqref="A7"/>
      <selection pane="bottomRight" activeCell="B58" sqref="B58:G61"/>
    </sheetView>
  </sheetViews>
  <sheetFormatPr defaultColWidth="9" defaultRowHeight="21.75"/>
  <cols>
    <col min="1" max="1" width="9" style="120"/>
    <col min="2" max="3" width="22.7109375" style="1" customWidth="1"/>
    <col min="4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" style="1" hidden="1" customWidth="1"/>
    <col min="14" max="14" width="14.140625" style="1" bestFit="1" customWidth="1"/>
    <col min="15" max="15" width="11.85546875" style="168" bestFit="1" customWidth="1"/>
    <col min="16" max="16" width="14.42578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155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09" t="s">
        <v>154</v>
      </c>
      <c r="R5" s="407" t="s">
        <v>12</v>
      </c>
    </row>
    <row r="6" spans="1:18" ht="44.25" thickBot="1">
      <c r="A6" s="415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153</v>
      </c>
      <c r="O6" s="164" t="s">
        <v>150</v>
      </c>
      <c r="P6" s="396"/>
      <c r="Q6" s="410"/>
      <c r="R6" s="408"/>
    </row>
    <row r="7" spans="1:18" s="200" customFormat="1">
      <c r="A7" s="235">
        <v>1</v>
      </c>
      <c r="B7" s="196" t="s">
        <v>20</v>
      </c>
      <c r="C7" s="199" t="s">
        <v>21</v>
      </c>
      <c r="D7" s="199" t="s">
        <v>22</v>
      </c>
      <c r="E7" s="199" t="s">
        <v>168</v>
      </c>
      <c r="F7" s="198">
        <v>14600</v>
      </c>
      <c r="G7" s="199"/>
      <c r="H7" s="199"/>
      <c r="I7" s="199"/>
      <c r="J7" s="107"/>
      <c r="K7" s="107"/>
      <c r="L7" s="109"/>
      <c r="M7" s="103"/>
      <c r="N7" s="198">
        <f>ROUND(F7*5%,0)</f>
        <v>730</v>
      </c>
      <c r="O7" s="248"/>
      <c r="P7" s="198">
        <f>SUM(F7-N7-O7)</f>
        <v>13870</v>
      </c>
      <c r="Q7" s="236">
        <f>ROUND(F7*5%,0)</f>
        <v>730</v>
      </c>
      <c r="R7" s="237"/>
    </row>
    <row r="8" spans="1:18" s="194" customFormat="1">
      <c r="A8" s="255">
        <v>2</v>
      </c>
      <c r="B8" s="192" t="s">
        <v>23</v>
      </c>
      <c r="C8" s="191" t="s">
        <v>24</v>
      </c>
      <c r="D8" s="191" t="s">
        <v>19</v>
      </c>
      <c r="E8" s="191" t="s">
        <v>169</v>
      </c>
      <c r="F8" s="193">
        <v>13500</v>
      </c>
      <c r="G8" s="191"/>
      <c r="H8" s="191"/>
      <c r="I8" s="191"/>
      <c r="J8" s="107"/>
      <c r="K8" s="107"/>
      <c r="L8" s="109"/>
      <c r="M8" s="103"/>
      <c r="N8" s="193">
        <f>ROUND(F8*5%,0)</f>
        <v>675</v>
      </c>
      <c r="O8" s="261"/>
      <c r="P8" s="193">
        <f t="shared" ref="P8:P50" si="0">SUM(F8-N8-O8)</f>
        <v>12825</v>
      </c>
      <c r="Q8" s="256">
        <f t="shared" ref="Q8:Q9" si="1">ROUND(F8*5%,0)</f>
        <v>675</v>
      </c>
      <c r="R8" s="257"/>
    </row>
    <row r="9" spans="1:18" s="194" customFormat="1">
      <c r="A9" s="255">
        <v>3</v>
      </c>
      <c r="B9" s="192" t="s">
        <v>25</v>
      </c>
      <c r="C9" s="191" t="s">
        <v>26</v>
      </c>
      <c r="D9" s="191" t="s">
        <v>27</v>
      </c>
      <c r="E9" s="191" t="s">
        <v>169</v>
      </c>
      <c r="F9" s="193">
        <v>13400</v>
      </c>
      <c r="G9" s="191"/>
      <c r="H9" s="191"/>
      <c r="I9" s="191"/>
      <c r="J9" s="107"/>
      <c r="K9" s="107"/>
      <c r="L9" s="109"/>
      <c r="M9" s="103"/>
      <c r="N9" s="193">
        <f t="shared" ref="N9" si="2">ROUND(F9*5%,0)</f>
        <v>670</v>
      </c>
      <c r="O9" s="261"/>
      <c r="P9" s="193">
        <f t="shared" si="0"/>
        <v>12730</v>
      </c>
      <c r="Q9" s="256">
        <f t="shared" si="1"/>
        <v>670</v>
      </c>
      <c r="R9" s="257"/>
    </row>
    <row r="10" spans="1:18" s="194" customFormat="1">
      <c r="A10" s="255">
        <v>4</v>
      </c>
      <c r="B10" s="192" t="s">
        <v>30</v>
      </c>
      <c r="C10" s="191" t="s">
        <v>31</v>
      </c>
      <c r="D10" s="191" t="s">
        <v>32</v>
      </c>
      <c r="E10" s="191" t="s">
        <v>169</v>
      </c>
      <c r="F10" s="193">
        <v>16500</v>
      </c>
      <c r="G10" s="191"/>
      <c r="H10" s="191"/>
      <c r="I10" s="191"/>
      <c r="J10" s="107"/>
      <c r="K10" s="107"/>
      <c r="L10" s="109"/>
      <c r="M10" s="103"/>
      <c r="N10" s="193">
        <v>750</v>
      </c>
      <c r="O10" s="261">
        <v>1785</v>
      </c>
      <c r="P10" s="193">
        <f t="shared" si="0"/>
        <v>13965</v>
      </c>
      <c r="Q10" s="256">
        <v>750</v>
      </c>
      <c r="R10" s="257"/>
    </row>
    <row r="11" spans="1:18" s="194" customFormat="1">
      <c r="A11" s="255">
        <v>5</v>
      </c>
      <c r="B11" s="192" t="s">
        <v>33</v>
      </c>
      <c r="C11" s="191" t="s">
        <v>34</v>
      </c>
      <c r="D11" s="191" t="s">
        <v>32</v>
      </c>
      <c r="E11" s="191" t="s">
        <v>169</v>
      </c>
      <c r="F11" s="193">
        <v>17300</v>
      </c>
      <c r="G11" s="191"/>
      <c r="H11" s="191"/>
      <c r="I11" s="191"/>
      <c r="J11" s="107"/>
      <c r="K11" s="107"/>
      <c r="L11" s="109"/>
      <c r="M11" s="103"/>
      <c r="N11" s="193">
        <v>750</v>
      </c>
      <c r="O11" s="261"/>
      <c r="P11" s="193">
        <f t="shared" si="0"/>
        <v>16550</v>
      </c>
      <c r="Q11" s="256">
        <v>750</v>
      </c>
      <c r="R11" s="257"/>
    </row>
    <row r="12" spans="1:18" s="200" customFormat="1">
      <c r="A12" s="235">
        <v>6</v>
      </c>
      <c r="B12" s="196" t="s">
        <v>35</v>
      </c>
      <c r="C12" s="199" t="s">
        <v>36</v>
      </c>
      <c r="D12" s="199" t="s">
        <v>37</v>
      </c>
      <c r="E12" s="199" t="s">
        <v>168</v>
      </c>
      <c r="F12" s="198">
        <v>19000</v>
      </c>
      <c r="G12" s="199"/>
      <c r="H12" s="199"/>
      <c r="I12" s="199"/>
      <c r="J12" s="107"/>
      <c r="K12" s="107"/>
      <c r="L12" s="109"/>
      <c r="M12" s="103"/>
      <c r="N12" s="198">
        <v>750</v>
      </c>
      <c r="O12" s="248"/>
      <c r="P12" s="198">
        <f t="shared" si="0"/>
        <v>18250</v>
      </c>
      <c r="Q12" s="236">
        <v>750</v>
      </c>
      <c r="R12" s="238"/>
    </row>
    <row r="13" spans="1:18" s="194" customFormat="1">
      <c r="A13" s="255">
        <v>7</v>
      </c>
      <c r="B13" s="192" t="s">
        <v>38</v>
      </c>
      <c r="C13" s="191" t="s">
        <v>39</v>
      </c>
      <c r="D13" s="191" t="s">
        <v>32</v>
      </c>
      <c r="E13" s="191" t="s">
        <v>169</v>
      </c>
      <c r="F13" s="193">
        <v>25000</v>
      </c>
      <c r="G13" s="191"/>
      <c r="H13" s="191"/>
      <c r="I13" s="191"/>
      <c r="J13" s="107"/>
      <c r="K13" s="107"/>
      <c r="L13" s="109"/>
      <c r="M13" s="103"/>
      <c r="N13" s="193">
        <v>750</v>
      </c>
      <c r="O13" s="261">
        <v>4076</v>
      </c>
      <c r="P13" s="193">
        <f t="shared" si="0"/>
        <v>20174</v>
      </c>
      <c r="Q13" s="256">
        <v>750</v>
      </c>
      <c r="R13" s="257"/>
    </row>
    <row r="14" spans="1:18" s="194" customFormat="1">
      <c r="A14" s="255">
        <v>8</v>
      </c>
      <c r="B14" s="192" t="s">
        <v>40</v>
      </c>
      <c r="C14" s="191" t="s">
        <v>41</v>
      </c>
      <c r="D14" s="191" t="s">
        <v>32</v>
      </c>
      <c r="E14" s="191" t="s">
        <v>169</v>
      </c>
      <c r="F14" s="193">
        <v>20500</v>
      </c>
      <c r="G14" s="191"/>
      <c r="H14" s="191"/>
      <c r="I14" s="191"/>
      <c r="J14" s="107"/>
      <c r="K14" s="107"/>
      <c r="L14" s="109"/>
      <c r="M14" s="103"/>
      <c r="N14" s="193">
        <v>750</v>
      </c>
      <c r="O14" s="261">
        <v>1816</v>
      </c>
      <c r="P14" s="193">
        <f t="shared" si="0"/>
        <v>17934</v>
      </c>
      <c r="Q14" s="256">
        <v>750</v>
      </c>
      <c r="R14" s="257"/>
    </row>
    <row r="15" spans="1:18" s="200" customFormat="1">
      <c r="A15" s="235">
        <v>9</v>
      </c>
      <c r="B15" s="196" t="s">
        <v>42</v>
      </c>
      <c r="C15" s="199" t="s">
        <v>43</v>
      </c>
      <c r="D15" s="199" t="s">
        <v>44</v>
      </c>
      <c r="E15" s="199" t="s">
        <v>168</v>
      </c>
      <c r="F15" s="198">
        <v>25000</v>
      </c>
      <c r="G15" s="199"/>
      <c r="H15" s="199"/>
      <c r="I15" s="199"/>
      <c r="J15" s="107"/>
      <c r="K15" s="107"/>
      <c r="L15" s="109"/>
      <c r="M15" s="103"/>
      <c r="N15" s="198">
        <v>750</v>
      </c>
      <c r="O15" s="248"/>
      <c r="P15" s="198">
        <f t="shared" si="0"/>
        <v>24250</v>
      </c>
      <c r="Q15" s="236">
        <v>750</v>
      </c>
      <c r="R15" s="238"/>
    </row>
    <row r="16" spans="1:18" s="200" customFormat="1">
      <c r="A16" s="235">
        <v>10</v>
      </c>
      <c r="B16" s="196" t="s">
        <v>45</v>
      </c>
      <c r="C16" s="199" t="s">
        <v>46</v>
      </c>
      <c r="D16" s="199" t="s">
        <v>44</v>
      </c>
      <c r="E16" s="199" t="s">
        <v>168</v>
      </c>
      <c r="F16" s="198">
        <v>19700</v>
      </c>
      <c r="G16" s="199"/>
      <c r="H16" s="199"/>
      <c r="I16" s="199"/>
      <c r="J16" s="107"/>
      <c r="K16" s="107"/>
      <c r="L16" s="109"/>
      <c r="M16" s="103"/>
      <c r="N16" s="198">
        <v>750</v>
      </c>
      <c r="O16" s="248"/>
      <c r="P16" s="198">
        <f t="shared" si="0"/>
        <v>18950</v>
      </c>
      <c r="Q16" s="236">
        <v>750</v>
      </c>
      <c r="R16" s="238"/>
    </row>
    <row r="17" spans="1:18" s="200" customFormat="1">
      <c r="A17" s="235">
        <v>11</v>
      </c>
      <c r="B17" s="196" t="s">
        <v>47</v>
      </c>
      <c r="C17" s="199" t="s">
        <v>48</v>
      </c>
      <c r="D17" s="199" t="s">
        <v>44</v>
      </c>
      <c r="E17" s="199" t="s">
        <v>168</v>
      </c>
      <c r="F17" s="198">
        <v>17600</v>
      </c>
      <c r="G17" s="199"/>
      <c r="H17" s="199"/>
      <c r="I17" s="199"/>
      <c r="J17" s="107"/>
      <c r="K17" s="107"/>
      <c r="L17" s="109"/>
      <c r="M17" s="103"/>
      <c r="N17" s="198">
        <v>750</v>
      </c>
      <c r="O17" s="248"/>
      <c r="P17" s="198">
        <f t="shared" si="0"/>
        <v>16850</v>
      </c>
      <c r="Q17" s="236">
        <v>750</v>
      </c>
      <c r="R17" s="238"/>
    </row>
    <row r="18" spans="1:18" s="200" customFormat="1">
      <c r="A18" s="235">
        <v>12</v>
      </c>
      <c r="B18" s="196" t="s">
        <v>49</v>
      </c>
      <c r="C18" s="199" t="s">
        <v>50</v>
      </c>
      <c r="D18" s="199" t="s">
        <v>37</v>
      </c>
      <c r="E18" s="199" t="s">
        <v>168</v>
      </c>
      <c r="F18" s="198">
        <v>25000</v>
      </c>
      <c r="G18" s="199"/>
      <c r="H18" s="199"/>
      <c r="I18" s="199"/>
      <c r="J18" s="107"/>
      <c r="K18" s="107"/>
      <c r="L18" s="109"/>
      <c r="M18" s="103"/>
      <c r="N18" s="198">
        <v>750</v>
      </c>
      <c r="O18" s="248"/>
      <c r="P18" s="198">
        <f t="shared" si="0"/>
        <v>24250</v>
      </c>
      <c r="Q18" s="236">
        <v>750</v>
      </c>
      <c r="R18" s="238"/>
    </row>
    <row r="19" spans="1:18" s="200" customFormat="1">
      <c r="A19" s="235">
        <v>13</v>
      </c>
      <c r="B19" s="196" t="s">
        <v>51</v>
      </c>
      <c r="C19" s="199" t="s">
        <v>52</v>
      </c>
      <c r="D19" s="199" t="s">
        <v>44</v>
      </c>
      <c r="E19" s="199" t="s">
        <v>168</v>
      </c>
      <c r="F19" s="198">
        <v>22700</v>
      </c>
      <c r="G19" s="199"/>
      <c r="H19" s="199"/>
      <c r="I19" s="199"/>
      <c r="J19" s="107"/>
      <c r="K19" s="107"/>
      <c r="L19" s="109"/>
      <c r="M19" s="103"/>
      <c r="N19" s="198">
        <v>750</v>
      </c>
      <c r="O19" s="248"/>
      <c r="P19" s="198">
        <f t="shared" si="0"/>
        <v>21950</v>
      </c>
      <c r="Q19" s="236">
        <v>750</v>
      </c>
      <c r="R19" s="238"/>
    </row>
    <row r="20" spans="1:18" s="194" customFormat="1">
      <c r="A20" s="255">
        <v>14</v>
      </c>
      <c r="B20" s="192" t="s">
        <v>53</v>
      </c>
      <c r="C20" s="191" t="s">
        <v>54</v>
      </c>
      <c r="D20" s="191" t="s">
        <v>55</v>
      </c>
      <c r="E20" s="191" t="s">
        <v>169</v>
      </c>
      <c r="F20" s="193">
        <v>23500</v>
      </c>
      <c r="G20" s="191"/>
      <c r="H20" s="191"/>
      <c r="I20" s="191"/>
      <c r="J20" s="107"/>
      <c r="K20" s="107"/>
      <c r="L20" s="109"/>
      <c r="M20" s="103"/>
      <c r="N20" s="193">
        <v>750</v>
      </c>
      <c r="O20" s="261"/>
      <c r="P20" s="193">
        <f t="shared" si="0"/>
        <v>22750</v>
      </c>
      <c r="Q20" s="256">
        <v>750</v>
      </c>
      <c r="R20" s="257"/>
    </row>
    <row r="21" spans="1:18" s="194" customFormat="1">
      <c r="A21" s="255">
        <v>15</v>
      </c>
      <c r="B21" s="192" t="s">
        <v>56</v>
      </c>
      <c r="C21" s="191" t="s">
        <v>57</v>
      </c>
      <c r="D21" s="191" t="s">
        <v>58</v>
      </c>
      <c r="E21" s="191" t="s">
        <v>169</v>
      </c>
      <c r="F21" s="193">
        <v>25000</v>
      </c>
      <c r="G21" s="191"/>
      <c r="H21" s="191"/>
      <c r="I21" s="191"/>
      <c r="J21" s="107"/>
      <c r="K21" s="107"/>
      <c r="L21" s="109"/>
      <c r="M21" s="103"/>
      <c r="N21" s="193">
        <v>750</v>
      </c>
      <c r="O21" s="261"/>
      <c r="P21" s="193">
        <f t="shared" si="0"/>
        <v>24250</v>
      </c>
      <c r="Q21" s="256">
        <v>750</v>
      </c>
      <c r="R21" s="257"/>
    </row>
    <row r="22" spans="1:18" s="200" customFormat="1">
      <c r="A22" s="235">
        <v>16</v>
      </c>
      <c r="B22" s="196" t="s">
        <v>60</v>
      </c>
      <c r="C22" s="199" t="s">
        <v>61</v>
      </c>
      <c r="D22" s="199" t="s">
        <v>44</v>
      </c>
      <c r="E22" s="199" t="s">
        <v>168</v>
      </c>
      <c r="F22" s="198">
        <v>25000</v>
      </c>
      <c r="G22" s="199"/>
      <c r="H22" s="199"/>
      <c r="I22" s="199"/>
      <c r="J22" s="107"/>
      <c r="K22" s="107"/>
      <c r="L22" s="109"/>
      <c r="M22" s="103"/>
      <c r="N22" s="198">
        <v>750</v>
      </c>
      <c r="O22" s="248"/>
      <c r="P22" s="198">
        <f t="shared" si="0"/>
        <v>24250</v>
      </c>
      <c r="Q22" s="236">
        <v>750</v>
      </c>
      <c r="R22" s="238"/>
    </row>
    <row r="23" spans="1:18" s="200" customFormat="1">
      <c r="A23" s="235">
        <v>17</v>
      </c>
      <c r="B23" s="196" t="s">
        <v>62</v>
      </c>
      <c r="C23" s="199" t="s">
        <v>63</v>
      </c>
      <c r="D23" s="199" t="s">
        <v>44</v>
      </c>
      <c r="E23" s="199" t="s">
        <v>168</v>
      </c>
      <c r="F23" s="198">
        <v>25000</v>
      </c>
      <c r="G23" s="199"/>
      <c r="H23" s="199"/>
      <c r="I23" s="199"/>
      <c r="J23" s="107"/>
      <c r="K23" s="107"/>
      <c r="L23" s="109"/>
      <c r="M23" s="103"/>
      <c r="N23" s="198">
        <v>750</v>
      </c>
      <c r="O23" s="248"/>
      <c r="P23" s="198">
        <f t="shared" si="0"/>
        <v>24250</v>
      </c>
      <c r="Q23" s="236">
        <v>750</v>
      </c>
      <c r="R23" s="238"/>
    </row>
    <row r="24" spans="1:18" s="200" customFormat="1">
      <c r="A24" s="235">
        <v>18</v>
      </c>
      <c r="B24" s="196" t="s">
        <v>64</v>
      </c>
      <c r="C24" s="199" t="s">
        <v>65</v>
      </c>
      <c r="D24" s="199" t="s">
        <v>44</v>
      </c>
      <c r="E24" s="199" t="s">
        <v>168</v>
      </c>
      <c r="F24" s="198">
        <v>25000</v>
      </c>
      <c r="G24" s="199"/>
      <c r="H24" s="199"/>
      <c r="I24" s="199"/>
      <c r="J24" s="107"/>
      <c r="K24" s="107"/>
      <c r="L24" s="109"/>
      <c r="M24" s="103"/>
      <c r="N24" s="198">
        <v>750</v>
      </c>
      <c r="O24" s="248"/>
      <c r="P24" s="198">
        <f t="shared" si="0"/>
        <v>24250</v>
      </c>
      <c r="Q24" s="236">
        <v>750</v>
      </c>
      <c r="R24" s="238"/>
    </row>
    <row r="25" spans="1:18" s="200" customFormat="1">
      <c r="A25" s="235">
        <v>19</v>
      </c>
      <c r="B25" s="196" t="s">
        <v>66</v>
      </c>
      <c r="C25" s="199" t="s">
        <v>67</v>
      </c>
      <c r="D25" s="199" t="s">
        <v>44</v>
      </c>
      <c r="E25" s="199" t="s">
        <v>168</v>
      </c>
      <c r="F25" s="198">
        <v>25000</v>
      </c>
      <c r="G25" s="199"/>
      <c r="H25" s="199"/>
      <c r="I25" s="199"/>
      <c r="J25" s="107"/>
      <c r="K25" s="107"/>
      <c r="L25" s="109"/>
      <c r="M25" s="103"/>
      <c r="N25" s="198">
        <v>750</v>
      </c>
      <c r="O25" s="248"/>
      <c r="P25" s="198">
        <f t="shared" si="0"/>
        <v>24250</v>
      </c>
      <c r="Q25" s="236">
        <v>750</v>
      </c>
      <c r="R25" s="238"/>
    </row>
    <row r="26" spans="1:18" s="200" customFormat="1">
      <c r="A26" s="235">
        <v>20</v>
      </c>
      <c r="B26" s="196" t="s">
        <v>68</v>
      </c>
      <c r="C26" s="199" t="s">
        <v>69</v>
      </c>
      <c r="D26" s="199" t="s">
        <v>44</v>
      </c>
      <c r="E26" s="199" t="s">
        <v>168</v>
      </c>
      <c r="F26" s="198">
        <v>25000</v>
      </c>
      <c r="G26" s="199"/>
      <c r="H26" s="199"/>
      <c r="I26" s="199"/>
      <c r="J26" s="107"/>
      <c r="K26" s="107"/>
      <c r="L26" s="109"/>
      <c r="M26" s="103"/>
      <c r="N26" s="198">
        <v>750</v>
      </c>
      <c r="O26" s="248"/>
      <c r="P26" s="198">
        <f t="shared" si="0"/>
        <v>24250</v>
      </c>
      <c r="Q26" s="236">
        <v>750</v>
      </c>
      <c r="R26" s="238"/>
    </row>
    <row r="27" spans="1:18" s="200" customFormat="1">
      <c r="A27" s="235">
        <v>21</v>
      </c>
      <c r="B27" s="196" t="s">
        <v>70</v>
      </c>
      <c r="C27" s="199" t="s">
        <v>71</v>
      </c>
      <c r="D27" s="199" t="s">
        <v>72</v>
      </c>
      <c r="E27" s="199" t="s">
        <v>168</v>
      </c>
      <c r="F27" s="198">
        <f>+H27*I27</f>
        <v>9200</v>
      </c>
      <c r="G27" s="199"/>
      <c r="H27" s="199">
        <v>400</v>
      </c>
      <c r="I27" s="199">
        <v>23</v>
      </c>
      <c r="J27" s="123"/>
      <c r="K27" s="123"/>
      <c r="L27" s="126"/>
      <c r="M27" s="124"/>
      <c r="N27" s="198">
        <f>ROUND(F27*5%,0)</f>
        <v>460</v>
      </c>
      <c r="O27" s="248"/>
      <c r="P27" s="198">
        <f t="shared" si="0"/>
        <v>8740</v>
      </c>
      <c r="Q27" s="236">
        <f>ROUND(F27*5%,0)</f>
        <v>460</v>
      </c>
      <c r="R27" s="198"/>
    </row>
    <row r="28" spans="1:18" s="200" customFormat="1">
      <c r="A28" s="235">
        <v>22</v>
      </c>
      <c r="B28" s="196" t="s">
        <v>73</v>
      </c>
      <c r="C28" s="199" t="s">
        <v>74</v>
      </c>
      <c r="D28" s="199" t="s">
        <v>72</v>
      </c>
      <c r="E28" s="199" t="s">
        <v>168</v>
      </c>
      <c r="F28" s="198">
        <f>+H28*I28</f>
        <v>8280</v>
      </c>
      <c r="G28" s="199"/>
      <c r="H28" s="199">
        <v>360</v>
      </c>
      <c r="I28" s="199">
        <v>23</v>
      </c>
      <c r="J28" s="123"/>
      <c r="K28" s="123"/>
      <c r="L28" s="126"/>
      <c r="M28" s="124"/>
      <c r="N28" s="198">
        <f>ROUND(F28*5%,0)</f>
        <v>414</v>
      </c>
      <c r="O28" s="248"/>
      <c r="P28" s="198">
        <f t="shared" si="0"/>
        <v>7866</v>
      </c>
      <c r="Q28" s="236">
        <f>ROUND(F28*5%,0)</f>
        <v>414</v>
      </c>
      <c r="R28" s="198"/>
    </row>
    <row r="29" spans="1:18" s="200" customFormat="1">
      <c r="A29" s="235">
        <v>23</v>
      </c>
      <c r="B29" s="196" t="s">
        <v>75</v>
      </c>
      <c r="C29" s="199" t="s">
        <v>76</v>
      </c>
      <c r="D29" s="199" t="s">
        <v>44</v>
      </c>
      <c r="E29" s="199" t="s">
        <v>168</v>
      </c>
      <c r="F29" s="198">
        <v>25000</v>
      </c>
      <c r="G29" s="199"/>
      <c r="H29" s="199"/>
      <c r="I29" s="199"/>
      <c r="J29" s="107"/>
      <c r="K29" s="107"/>
      <c r="L29" s="109"/>
      <c r="M29" s="103"/>
      <c r="N29" s="198">
        <v>750</v>
      </c>
      <c r="O29" s="248"/>
      <c r="P29" s="198">
        <f t="shared" si="0"/>
        <v>24250</v>
      </c>
      <c r="Q29" s="236">
        <v>750</v>
      </c>
      <c r="R29" s="238"/>
    </row>
    <row r="30" spans="1:18" s="194" customFormat="1">
      <c r="A30" s="255">
        <v>24</v>
      </c>
      <c r="B30" s="192" t="s">
        <v>77</v>
      </c>
      <c r="C30" s="191" t="s">
        <v>78</v>
      </c>
      <c r="D30" s="191" t="s">
        <v>79</v>
      </c>
      <c r="E30" s="191" t="s">
        <v>169</v>
      </c>
      <c r="F30" s="193">
        <v>15500</v>
      </c>
      <c r="G30" s="258" t="s">
        <v>80</v>
      </c>
      <c r="H30" s="191"/>
      <c r="I30" s="191"/>
      <c r="J30" s="107"/>
      <c r="K30" s="107"/>
      <c r="L30" s="109"/>
      <c r="M30" s="103"/>
      <c r="N30" s="193">
        <v>750</v>
      </c>
      <c r="O30" s="261"/>
      <c r="P30" s="193">
        <f t="shared" si="0"/>
        <v>14750</v>
      </c>
      <c r="Q30" s="256">
        <v>750</v>
      </c>
      <c r="R30" s="257"/>
    </row>
    <row r="31" spans="1:18" s="262" customFormat="1">
      <c r="A31" s="255">
        <v>25</v>
      </c>
      <c r="B31" s="259" t="s">
        <v>84</v>
      </c>
      <c r="C31" s="260" t="s">
        <v>85</v>
      </c>
      <c r="D31" s="260" t="s">
        <v>32</v>
      </c>
      <c r="E31" s="260" t="s">
        <v>169</v>
      </c>
      <c r="F31" s="261">
        <v>15500</v>
      </c>
      <c r="G31" s="258" t="s">
        <v>83</v>
      </c>
      <c r="H31" s="260"/>
      <c r="I31" s="260"/>
      <c r="J31" s="95"/>
      <c r="K31" s="95"/>
      <c r="L31" s="109"/>
      <c r="M31" s="103"/>
      <c r="N31" s="193">
        <v>750</v>
      </c>
      <c r="O31" s="261"/>
      <c r="P31" s="193">
        <f t="shared" si="0"/>
        <v>14750</v>
      </c>
      <c r="Q31" s="256">
        <v>750</v>
      </c>
      <c r="R31" s="257"/>
    </row>
    <row r="32" spans="1:18" s="200" customFormat="1">
      <c r="A32" s="235">
        <v>26</v>
      </c>
      <c r="B32" s="196" t="s">
        <v>86</v>
      </c>
      <c r="C32" s="199" t="s">
        <v>87</v>
      </c>
      <c r="D32" s="199" t="s">
        <v>44</v>
      </c>
      <c r="E32" s="199" t="s">
        <v>168</v>
      </c>
      <c r="F32" s="198">
        <v>25000</v>
      </c>
      <c r="G32" s="239" t="s">
        <v>88</v>
      </c>
      <c r="H32" s="199"/>
      <c r="I32" s="199"/>
      <c r="J32" s="107"/>
      <c r="K32" s="107"/>
      <c r="L32" s="109"/>
      <c r="M32" s="103"/>
      <c r="N32" s="198">
        <v>750</v>
      </c>
      <c r="O32" s="248"/>
      <c r="P32" s="198">
        <f t="shared" si="0"/>
        <v>24250</v>
      </c>
      <c r="Q32" s="236">
        <v>750</v>
      </c>
      <c r="R32" s="240"/>
    </row>
    <row r="33" spans="1:18" s="200" customFormat="1">
      <c r="A33" s="235">
        <v>27</v>
      </c>
      <c r="B33" s="196" t="s">
        <v>89</v>
      </c>
      <c r="C33" s="199" t="s">
        <v>90</v>
      </c>
      <c r="D33" s="199" t="s">
        <v>72</v>
      </c>
      <c r="E33" s="199" t="s">
        <v>168</v>
      </c>
      <c r="F33" s="198">
        <f>+H33*I33</f>
        <v>8740</v>
      </c>
      <c r="G33" s="239" t="s">
        <v>88</v>
      </c>
      <c r="H33" s="199">
        <v>380</v>
      </c>
      <c r="I33" s="199">
        <v>23</v>
      </c>
      <c r="J33" s="123"/>
      <c r="K33" s="123"/>
      <c r="L33" s="126"/>
      <c r="M33" s="124"/>
      <c r="N33" s="198">
        <f>ROUND(F33*5%,0)</f>
        <v>437</v>
      </c>
      <c r="O33" s="248"/>
      <c r="P33" s="198">
        <f t="shared" si="0"/>
        <v>8303</v>
      </c>
      <c r="Q33" s="236">
        <f>ROUND(F33*5%,0)</f>
        <v>437</v>
      </c>
      <c r="R33" s="240"/>
    </row>
    <row r="34" spans="1:18" s="194" customFormat="1">
      <c r="A34" s="255">
        <v>28</v>
      </c>
      <c r="B34" s="192" t="s">
        <v>91</v>
      </c>
      <c r="C34" s="191" t="s">
        <v>92</v>
      </c>
      <c r="D34" s="191" t="s">
        <v>32</v>
      </c>
      <c r="E34" s="191" t="s">
        <v>169</v>
      </c>
      <c r="F34" s="193">
        <v>16200</v>
      </c>
      <c r="G34" s="263" t="s">
        <v>93</v>
      </c>
      <c r="H34" s="191"/>
      <c r="I34" s="191"/>
      <c r="J34" s="107"/>
      <c r="K34" s="107"/>
      <c r="L34" s="109"/>
      <c r="M34" s="103"/>
      <c r="N34" s="193">
        <v>750</v>
      </c>
      <c r="O34" s="261"/>
      <c r="P34" s="193">
        <f t="shared" si="0"/>
        <v>15450</v>
      </c>
      <c r="Q34" s="256">
        <v>750</v>
      </c>
      <c r="R34" s="257"/>
    </row>
    <row r="35" spans="1:18" s="200" customFormat="1">
      <c r="A35" s="235">
        <v>29</v>
      </c>
      <c r="B35" s="196" t="s">
        <v>94</v>
      </c>
      <c r="C35" s="201">
        <v>6016200526744</v>
      </c>
      <c r="D35" s="199" t="s">
        <v>95</v>
      </c>
      <c r="E35" s="199" t="s">
        <v>168</v>
      </c>
      <c r="F35" s="198">
        <f>H35*I35</f>
        <v>7260</v>
      </c>
      <c r="G35" s="239" t="s">
        <v>96</v>
      </c>
      <c r="H35" s="199">
        <v>330</v>
      </c>
      <c r="I35" s="199">
        <v>22</v>
      </c>
      <c r="J35" s="123"/>
      <c r="K35" s="123"/>
      <c r="L35" s="126"/>
      <c r="M35" s="124"/>
      <c r="N35" s="198">
        <f>ROUND(F35*5%,0)</f>
        <v>363</v>
      </c>
      <c r="O35" s="248"/>
      <c r="P35" s="198">
        <f t="shared" si="0"/>
        <v>6897</v>
      </c>
      <c r="Q35" s="236">
        <f>ROUND(F35*5%,0)</f>
        <v>363</v>
      </c>
      <c r="R35" s="240"/>
    </row>
    <row r="36" spans="1:18" s="200" customFormat="1">
      <c r="A36" s="235">
        <v>30</v>
      </c>
      <c r="B36" s="196" t="s">
        <v>97</v>
      </c>
      <c r="C36" s="201">
        <v>6016200526680</v>
      </c>
      <c r="D36" s="199" t="s">
        <v>95</v>
      </c>
      <c r="E36" s="199" t="s">
        <v>168</v>
      </c>
      <c r="F36" s="198">
        <f t="shared" ref="F36:F42" si="3">H36*I36</f>
        <v>7590</v>
      </c>
      <c r="G36" s="239" t="s">
        <v>96</v>
      </c>
      <c r="H36" s="199">
        <v>330</v>
      </c>
      <c r="I36" s="199">
        <v>23</v>
      </c>
      <c r="J36" s="123"/>
      <c r="K36" s="123"/>
      <c r="L36" s="126"/>
      <c r="M36" s="124"/>
      <c r="N36" s="198">
        <f t="shared" ref="N36:N44" si="4">ROUND(F36*5%,0)</f>
        <v>380</v>
      </c>
      <c r="O36" s="248"/>
      <c r="P36" s="198">
        <f t="shared" si="0"/>
        <v>7210</v>
      </c>
      <c r="Q36" s="236">
        <f t="shared" ref="Q36:Q50" si="5">ROUND(F36*5%,0)</f>
        <v>380</v>
      </c>
      <c r="R36" s="240"/>
    </row>
    <row r="37" spans="1:18" s="200" customFormat="1">
      <c r="A37" s="235">
        <v>31</v>
      </c>
      <c r="B37" s="196" t="s">
        <v>98</v>
      </c>
      <c r="C37" s="201">
        <v>6016200526639</v>
      </c>
      <c r="D37" s="199" t="s">
        <v>95</v>
      </c>
      <c r="E37" s="199" t="s">
        <v>168</v>
      </c>
      <c r="F37" s="198">
        <f t="shared" si="3"/>
        <v>7920</v>
      </c>
      <c r="G37" s="239" t="s">
        <v>96</v>
      </c>
      <c r="H37" s="199">
        <v>330</v>
      </c>
      <c r="I37" s="199">
        <v>24</v>
      </c>
      <c r="J37" s="123"/>
      <c r="K37" s="123"/>
      <c r="L37" s="126"/>
      <c r="M37" s="124"/>
      <c r="N37" s="198">
        <f t="shared" si="4"/>
        <v>396</v>
      </c>
      <c r="O37" s="248"/>
      <c r="P37" s="198">
        <f t="shared" si="0"/>
        <v>7524</v>
      </c>
      <c r="Q37" s="236">
        <f t="shared" si="5"/>
        <v>396</v>
      </c>
      <c r="R37" s="198"/>
    </row>
    <row r="38" spans="1:18" s="200" customFormat="1">
      <c r="A38" s="235">
        <v>32</v>
      </c>
      <c r="B38" s="196" t="s">
        <v>99</v>
      </c>
      <c r="C38" s="201">
        <v>6016200526591</v>
      </c>
      <c r="D38" s="199" t="s">
        <v>95</v>
      </c>
      <c r="E38" s="199" t="s">
        <v>168</v>
      </c>
      <c r="F38" s="198">
        <f t="shared" si="3"/>
        <v>7920</v>
      </c>
      <c r="G38" s="239" t="s">
        <v>96</v>
      </c>
      <c r="H38" s="199">
        <v>330</v>
      </c>
      <c r="I38" s="199">
        <v>24</v>
      </c>
      <c r="J38" s="123"/>
      <c r="K38" s="123"/>
      <c r="L38" s="126"/>
      <c r="M38" s="124"/>
      <c r="N38" s="198">
        <f t="shared" si="4"/>
        <v>396</v>
      </c>
      <c r="O38" s="248"/>
      <c r="P38" s="198">
        <f t="shared" si="0"/>
        <v>7524</v>
      </c>
      <c r="Q38" s="236">
        <f t="shared" si="5"/>
        <v>396</v>
      </c>
      <c r="R38" s="198"/>
    </row>
    <row r="39" spans="1:18" s="246" customFormat="1">
      <c r="A39" s="235">
        <v>33</v>
      </c>
      <c r="B39" s="241" t="s">
        <v>108</v>
      </c>
      <c r="C39" s="242" t="s">
        <v>109</v>
      </c>
      <c r="D39" s="242" t="s">
        <v>72</v>
      </c>
      <c r="E39" s="242" t="s">
        <v>168</v>
      </c>
      <c r="F39" s="198">
        <f t="shared" si="3"/>
        <v>9600</v>
      </c>
      <c r="G39" s="243" t="s">
        <v>107</v>
      </c>
      <c r="H39" s="242">
        <v>400</v>
      </c>
      <c r="I39" s="242">
        <v>24</v>
      </c>
      <c r="J39" s="132"/>
      <c r="K39" s="132"/>
      <c r="L39" s="134"/>
      <c r="M39" s="135"/>
      <c r="N39" s="198">
        <f t="shared" si="4"/>
        <v>480</v>
      </c>
      <c r="O39" s="248"/>
      <c r="P39" s="198">
        <f t="shared" si="0"/>
        <v>9120</v>
      </c>
      <c r="Q39" s="236">
        <f t="shared" si="5"/>
        <v>480</v>
      </c>
      <c r="R39" s="198"/>
    </row>
    <row r="40" spans="1:18" s="246" customFormat="1">
      <c r="A40" s="235">
        <v>34</v>
      </c>
      <c r="B40" s="241" t="s">
        <v>110</v>
      </c>
      <c r="C40" s="244">
        <v>6016300837717</v>
      </c>
      <c r="D40" s="242" t="s">
        <v>95</v>
      </c>
      <c r="E40" s="242" t="s">
        <v>168</v>
      </c>
      <c r="F40" s="198">
        <f t="shared" si="3"/>
        <v>7590</v>
      </c>
      <c r="G40" s="243" t="s">
        <v>111</v>
      </c>
      <c r="H40" s="242">
        <v>330</v>
      </c>
      <c r="I40" s="242">
        <v>23</v>
      </c>
      <c r="J40" s="132"/>
      <c r="K40" s="132"/>
      <c r="L40" s="134"/>
      <c r="M40" s="135"/>
      <c r="N40" s="198">
        <f t="shared" si="4"/>
        <v>380</v>
      </c>
      <c r="O40" s="248"/>
      <c r="P40" s="198">
        <f t="shared" si="0"/>
        <v>7210</v>
      </c>
      <c r="Q40" s="236">
        <f t="shared" si="5"/>
        <v>380</v>
      </c>
      <c r="R40" s="198"/>
    </row>
    <row r="41" spans="1:18" s="246" customFormat="1">
      <c r="A41" s="235">
        <v>35</v>
      </c>
      <c r="B41" s="241" t="s">
        <v>112</v>
      </c>
      <c r="C41" s="244">
        <v>6016300837709</v>
      </c>
      <c r="D41" s="242" t="s">
        <v>95</v>
      </c>
      <c r="E41" s="242" t="s">
        <v>168</v>
      </c>
      <c r="F41" s="198">
        <f t="shared" si="3"/>
        <v>7920</v>
      </c>
      <c r="G41" s="243" t="s">
        <v>111</v>
      </c>
      <c r="H41" s="242">
        <v>330</v>
      </c>
      <c r="I41" s="242">
        <v>24</v>
      </c>
      <c r="J41" s="132"/>
      <c r="K41" s="132"/>
      <c r="L41" s="134"/>
      <c r="M41" s="135"/>
      <c r="N41" s="198">
        <f t="shared" si="4"/>
        <v>396</v>
      </c>
      <c r="O41" s="248"/>
      <c r="P41" s="198">
        <f t="shared" si="0"/>
        <v>7524</v>
      </c>
      <c r="Q41" s="236">
        <f t="shared" si="5"/>
        <v>396</v>
      </c>
      <c r="R41" s="198"/>
    </row>
    <row r="42" spans="1:18" s="246" customFormat="1">
      <c r="A42" s="235">
        <v>36</v>
      </c>
      <c r="B42" s="241" t="s">
        <v>113</v>
      </c>
      <c r="C42" s="244">
        <v>6016300837750</v>
      </c>
      <c r="D42" s="242" t="s">
        <v>95</v>
      </c>
      <c r="E42" s="242" t="s">
        <v>168</v>
      </c>
      <c r="F42" s="198">
        <f t="shared" si="3"/>
        <v>7920</v>
      </c>
      <c r="G42" s="243" t="s">
        <v>111</v>
      </c>
      <c r="H42" s="242">
        <v>330</v>
      </c>
      <c r="I42" s="242">
        <v>24</v>
      </c>
      <c r="J42" s="132"/>
      <c r="K42" s="132"/>
      <c r="L42" s="134"/>
      <c r="M42" s="135"/>
      <c r="N42" s="198">
        <f t="shared" si="4"/>
        <v>396</v>
      </c>
      <c r="O42" s="248"/>
      <c r="P42" s="198">
        <f t="shared" si="0"/>
        <v>7524</v>
      </c>
      <c r="Q42" s="236">
        <f t="shared" si="5"/>
        <v>396</v>
      </c>
      <c r="R42" s="242"/>
    </row>
    <row r="43" spans="1:18" s="200" customFormat="1">
      <c r="A43" s="235">
        <v>37</v>
      </c>
      <c r="B43" s="196" t="s">
        <v>100</v>
      </c>
      <c r="C43" s="201">
        <v>1101500149087</v>
      </c>
      <c r="D43" s="199" t="s">
        <v>44</v>
      </c>
      <c r="E43" s="199" t="s">
        <v>168</v>
      </c>
      <c r="F43" s="198">
        <v>25000</v>
      </c>
      <c r="G43" s="245" t="s">
        <v>101</v>
      </c>
      <c r="H43" s="199"/>
      <c r="I43" s="199"/>
      <c r="J43" s="107"/>
      <c r="K43" s="107"/>
      <c r="L43" s="109"/>
      <c r="M43" s="103"/>
      <c r="N43" s="198">
        <v>750</v>
      </c>
      <c r="O43" s="248"/>
      <c r="P43" s="198">
        <f t="shared" si="0"/>
        <v>24250</v>
      </c>
      <c r="Q43" s="236">
        <v>750</v>
      </c>
      <c r="R43" s="238"/>
    </row>
    <row r="44" spans="1:18" s="200" customFormat="1">
      <c r="A44" s="235">
        <v>38</v>
      </c>
      <c r="B44" s="196" t="s">
        <v>102</v>
      </c>
      <c r="C44" s="201">
        <v>220062001228</v>
      </c>
      <c r="D44" s="199" t="s">
        <v>95</v>
      </c>
      <c r="E44" s="199" t="s">
        <v>168</v>
      </c>
      <c r="F44" s="198">
        <f>+H44*I44</f>
        <v>7920</v>
      </c>
      <c r="G44" s="245" t="s">
        <v>106</v>
      </c>
      <c r="H44" s="199">
        <v>330</v>
      </c>
      <c r="I44" s="199">
        <v>24</v>
      </c>
      <c r="J44" s="123"/>
      <c r="K44" s="123"/>
      <c r="L44" s="126"/>
      <c r="M44" s="124"/>
      <c r="N44" s="198">
        <f t="shared" si="4"/>
        <v>396</v>
      </c>
      <c r="O44" s="248"/>
      <c r="P44" s="198">
        <f t="shared" si="0"/>
        <v>7524</v>
      </c>
      <c r="Q44" s="236">
        <f t="shared" si="5"/>
        <v>396</v>
      </c>
      <c r="R44" s="238"/>
    </row>
    <row r="45" spans="1:18" s="266" customFormat="1">
      <c r="A45" s="255">
        <v>39</v>
      </c>
      <c r="B45" s="259" t="s">
        <v>114</v>
      </c>
      <c r="C45" s="264">
        <v>1419900221235</v>
      </c>
      <c r="D45" s="260" t="s">
        <v>32</v>
      </c>
      <c r="E45" s="260" t="s">
        <v>169</v>
      </c>
      <c r="F45" s="261">
        <v>12000</v>
      </c>
      <c r="G45" s="265" t="s">
        <v>115</v>
      </c>
      <c r="H45" s="257"/>
      <c r="I45" s="257"/>
      <c r="J45" s="100"/>
      <c r="K45" s="100"/>
      <c r="L45" s="101"/>
      <c r="M45" s="102"/>
      <c r="N45" s="193">
        <f>ROUND(F45*5%,0)</f>
        <v>600</v>
      </c>
      <c r="O45" s="261"/>
      <c r="P45" s="193">
        <f t="shared" si="0"/>
        <v>11400</v>
      </c>
      <c r="Q45" s="256">
        <f t="shared" si="5"/>
        <v>600</v>
      </c>
      <c r="R45" s="257"/>
    </row>
    <row r="46" spans="1:18" s="246" customFormat="1">
      <c r="A46" s="235">
        <v>40</v>
      </c>
      <c r="B46" s="247" t="s">
        <v>118</v>
      </c>
      <c r="C46" s="244">
        <v>1229900643638</v>
      </c>
      <c r="D46" s="242" t="s">
        <v>44</v>
      </c>
      <c r="E46" s="242" t="s">
        <v>168</v>
      </c>
      <c r="F46" s="248">
        <v>15000</v>
      </c>
      <c r="G46" s="243" t="s">
        <v>119</v>
      </c>
      <c r="H46" s="242"/>
      <c r="I46" s="242"/>
      <c r="J46" s="95"/>
      <c r="K46" s="95"/>
      <c r="L46" s="115"/>
      <c r="M46" s="98"/>
      <c r="N46" s="198">
        <f>ROUND(F46*5%,0)</f>
        <v>750</v>
      </c>
      <c r="O46" s="248"/>
      <c r="P46" s="198">
        <f t="shared" si="0"/>
        <v>14250</v>
      </c>
      <c r="Q46" s="236">
        <f t="shared" si="5"/>
        <v>750</v>
      </c>
      <c r="R46" s="242"/>
    </row>
    <row r="47" spans="1:18" s="246" customFormat="1">
      <c r="A47" s="235">
        <v>41</v>
      </c>
      <c r="B47" s="247" t="s">
        <v>120</v>
      </c>
      <c r="C47" s="244">
        <v>3402000037896</v>
      </c>
      <c r="D47" s="242" t="s">
        <v>44</v>
      </c>
      <c r="E47" s="242" t="s">
        <v>168</v>
      </c>
      <c r="F47" s="248">
        <v>15000</v>
      </c>
      <c r="G47" s="243" t="s">
        <v>119</v>
      </c>
      <c r="H47" s="242"/>
      <c r="I47" s="242"/>
      <c r="J47" s="95"/>
      <c r="K47" s="95"/>
      <c r="L47" s="115"/>
      <c r="M47" s="98"/>
      <c r="N47" s="198">
        <f>ROUND(F47*5%,0)</f>
        <v>750</v>
      </c>
      <c r="O47" s="248"/>
      <c r="P47" s="198">
        <f t="shared" si="0"/>
        <v>14250</v>
      </c>
      <c r="Q47" s="236">
        <f t="shared" si="5"/>
        <v>750</v>
      </c>
      <c r="R47" s="242"/>
    </row>
    <row r="48" spans="1:18" s="246" customFormat="1">
      <c r="A48" s="235">
        <v>42</v>
      </c>
      <c r="B48" s="247" t="s">
        <v>121</v>
      </c>
      <c r="C48" s="244">
        <v>3341600658671</v>
      </c>
      <c r="D48" s="242" t="s">
        <v>44</v>
      </c>
      <c r="E48" s="242" t="s">
        <v>168</v>
      </c>
      <c r="F48" s="248">
        <v>15000</v>
      </c>
      <c r="G48" s="243" t="s">
        <v>119</v>
      </c>
      <c r="H48" s="242"/>
      <c r="I48" s="242"/>
      <c r="J48" s="95"/>
      <c r="K48" s="95"/>
      <c r="L48" s="115"/>
      <c r="M48" s="98"/>
      <c r="N48" s="198">
        <f>ROUND(F48*5%,0)</f>
        <v>750</v>
      </c>
      <c r="O48" s="248"/>
      <c r="P48" s="198">
        <f t="shared" si="0"/>
        <v>14250</v>
      </c>
      <c r="Q48" s="236">
        <f t="shared" si="5"/>
        <v>750</v>
      </c>
      <c r="R48" s="242"/>
    </row>
    <row r="49" spans="1:18" s="262" customFormat="1">
      <c r="A49" s="255">
        <v>43</v>
      </c>
      <c r="B49" s="259" t="s">
        <v>122</v>
      </c>
      <c r="C49" s="264">
        <v>3930100204585</v>
      </c>
      <c r="D49" s="260" t="s">
        <v>19</v>
      </c>
      <c r="E49" s="260" t="s">
        <v>169</v>
      </c>
      <c r="F49" s="261">
        <v>15000</v>
      </c>
      <c r="G49" s="265" t="s">
        <v>119</v>
      </c>
      <c r="H49" s="260"/>
      <c r="I49" s="260"/>
      <c r="J49" s="95"/>
      <c r="K49" s="95"/>
      <c r="L49" s="115"/>
      <c r="M49" s="98"/>
      <c r="N49" s="261">
        <v>750</v>
      </c>
      <c r="O49" s="261"/>
      <c r="P49" s="193">
        <f t="shared" si="0"/>
        <v>14250</v>
      </c>
      <c r="Q49" s="256">
        <f t="shared" si="5"/>
        <v>750</v>
      </c>
      <c r="R49" s="260"/>
    </row>
    <row r="50" spans="1:18" s="254" customFormat="1">
      <c r="A50" s="235">
        <v>44</v>
      </c>
      <c r="B50" s="249" t="s">
        <v>138</v>
      </c>
      <c r="C50" s="250">
        <v>1461000135963</v>
      </c>
      <c r="D50" s="251" t="s">
        <v>95</v>
      </c>
      <c r="E50" s="251" t="s">
        <v>168</v>
      </c>
      <c r="F50" s="236">
        <f>H50*I50</f>
        <v>8050</v>
      </c>
      <c r="G50" s="252" t="s">
        <v>139</v>
      </c>
      <c r="H50" s="251">
        <v>350</v>
      </c>
      <c r="I50" s="251">
        <v>23</v>
      </c>
      <c r="J50" s="143"/>
      <c r="K50" s="143"/>
      <c r="L50" s="145"/>
      <c r="M50" s="128"/>
      <c r="N50" s="198">
        <f t="shared" ref="N50" si="6">ROUND(F50*5%,0)</f>
        <v>403</v>
      </c>
      <c r="O50" s="236"/>
      <c r="P50" s="198">
        <f t="shared" si="0"/>
        <v>7647</v>
      </c>
      <c r="Q50" s="236">
        <f t="shared" si="5"/>
        <v>403</v>
      </c>
      <c r="R50" s="253"/>
    </row>
    <row r="51" spans="1:18" s="86" customFormat="1" ht="22.5" thickBot="1">
      <c r="A51" s="402" t="s">
        <v>103</v>
      </c>
      <c r="B51" s="402"/>
      <c r="C51" s="402"/>
      <c r="D51" s="402"/>
      <c r="E51" s="402"/>
      <c r="F51" s="89">
        <f>SUM(F7:F50)</f>
        <v>723410</v>
      </c>
      <c r="G51" s="87"/>
      <c r="H51" s="87"/>
      <c r="I51" s="87"/>
      <c r="J51" s="87"/>
      <c r="K51" s="87"/>
      <c r="L51" s="87"/>
      <c r="M51" s="87"/>
      <c r="N51" s="89">
        <f>SUM(N7:N50)</f>
        <v>28222</v>
      </c>
      <c r="O51" s="165">
        <f>SUM(O7:O50)</f>
        <v>7677</v>
      </c>
      <c r="P51" s="89">
        <f>SUM(P7:P50)</f>
        <v>687511</v>
      </c>
      <c r="Q51" s="90">
        <f>SUM(Q7:Q50)</f>
        <v>28222</v>
      </c>
      <c r="R51" s="88"/>
    </row>
    <row r="52" spans="1:18" ht="23.25" thickTop="1" thickBot="1">
      <c r="A52" s="119"/>
      <c r="B52" s="3"/>
      <c r="C52" s="3"/>
      <c r="D52" s="3"/>
      <c r="E52" s="3"/>
      <c r="F52" s="39"/>
      <c r="G52" s="39"/>
      <c r="H52" s="39"/>
      <c r="I52" s="39"/>
      <c r="J52" s="39"/>
      <c r="K52" s="39"/>
      <c r="L52" s="39"/>
      <c r="M52" s="39"/>
      <c r="N52" s="39"/>
      <c r="O52" s="166"/>
      <c r="P52" s="39"/>
      <c r="R52" s="5"/>
    </row>
    <row r="53" spans="1:18" ht="24.75" thickBot="1">
      <c r="A53" s="119"/>
      <c r="B53" s="50" t="s">
        <v>12</v>
      </c>
      <c r="C53" s="3"/>
      <c r="D53" s="3"/>
      <c r="E53" s="3"/>
      <c r="F53" s="39"/>
      <c r="G53" s="156" t="s">
        <v>145</v>
      </c>
      <c r="H53" s="39"/>
      <c r="I53" s="39"/>
      <c r="J53" s="39"/>
      <c r="K53" s="39"/>
      <c r="L53" s="39"/>
      <c r="M53" s="282" t="s">
        <v>158</v>
      </c>
      <c r="N53" s="285"/>
      <c r="O53" s="286"/>
      <c r="P53" s="285"/>
      <c r="R53" s="5"/>
    </row>
    <row r="54" spans="1:18">
      <c r="A54" s="119"/>
      <c r="B54" s="52" t="s">
        <v>156</v>
      </c>
      <c r="C54" s="149">
        <v>1</v>
      </c>
      <c r="D54" s="54" t="s">
        <v>142</v>
      </c>
      <c r="E54" s="54"/>
      <c r="F54" s="55" t="s">
        <v>140</v>
      </c>
      <c r="G54" s="169" t="s">
        <v>141</v>
      </c>
      <c r="H54" s="170">
        <v>13</v>
      </c>
      <c r="I54" s="171" t="s">
        <v>142</v>
      </c>
      <c r="J54" s="148"/>
      <c r="K54" s="148"/>
      <c r="M54" s="283">
        <f>+F27+F28+F33+F35+F36+F37+F38+F39+F40+F41+F42+F44+F50</f>
        <v>105910</v>
      </c>
      <c r="N54" s="45"/>
      <c r="O54" s="287"/>
      <c r="P54" s="288"/>
      <c r="R54" s="5"/>
    </row>
    <row r="55" spans="1:18">
      <c r="A55" s="119"/>
      <c r="B55" s="56" t="s">
        <v>157</v>
      </c>
      <c r="C55" s="150"/>
      <c r="D55" s="47"/>
      <c r="E55" s="47"/>
      <c r="F55" s="57"/>
      <c r="G55" s="172" t="s">
        <v>144</v>
      </c>
      <c r="H55" s="173">
        <v>31</v>
      </c>
      <c r="I55" s="174" t="s">
        <v>142</v>
      </c>
      <c r="J55" s="148"/>
      <c r="K55" s="148"/>
      <c r="M55" s="283">
        <f>+F7+F8+F9+F10+F11+F12+F13+F14+F15+F16+F17+F18+F19+F20+F21+F22+F23+F24+F25+F26+F29+F30+F31+F32+F34+F43+F45+F46+F47+F48+F49</f>
        <v>617500</v>
      </c>
      <c r="N55" s="45"/>
      <c r="O55" s="287"/>
      <c r="P55" s="45"/>
      <c r="R55" s="5"/>
    </row>
    <row r="56" spans="1:18" ht="22.5" thickBot="1">
      <c r="A56" s="119"/>
      <c r="B56" s="58" t="s">
        <v>137</v>
      </c>
      <c r="C56" s="151">
        <v>0</v>
      </c>
      <c r="D56" s="60" t="s">
        <v>142</v>
      </c>
      <c r="E56" s="60"/>
      <c r="F56" s="61"/>
      <c r="G56" s="68" t="s">
        <v>147</v>
      </c>
      <c r="H56" s="69">
        <f>SUM(H54:H55)</f>
        <v>44</v>
      </c>
      <c r="I56" s="155" t="s">
        <v>142</v>
      </c>
      <c r="J56" s="154"/>
      <c r="K56" s="154"/>
      <c r="M56" s="284">
        <f>SUM(M54:M55)</f>
        <v>723410</v>
      </c>
      <c r="N56" s="289"/>
      <c r="O56" s="166"/>
      <c r="P56" s="289"/>
    </row>
    <row r="58" spans="1:18" ht="43.5">
      <c r="B58" s="11" t="s">
        <v>167</v>
      </c>
      <c r="C58" s="11" t="s">
        <v>158</v>
      </c>
      <c r="D58" s="234" t="s">
        <v>176</v>
      </c>
      <c r="E58" s="234" t="s">
        <v>177</v>
      </c>
      <c r="F58" s="91" t="s">
        <v>150</v>
      </c>
      <c r="G58" s="234" t="s">
        <v>172</v>
      </c>
    </row>
    <row r="59" spans="1:18">
      <c r="B59" s="199" t="s">
        <v>178</v>
      </c>
      <c r="C59" s="197">
        <f>+F7+F12+F15+F16+F17+F18+F19+F22+F23+F24+F25+F26+F27+F28+F29+F32+F33+F35+F36+F37+F38+F39+F40+F41+F42+F43+F44+F46+F47+F48+F50</f>
        <v>494510</v>
      </c>
      <c r="D59" s="197">
        <f>+Q7+Q12+Q15+Q16+Q17+Q18+Q19+Q22+Q23+Q24+Q25+Q26+Q27+Q28+Q29+Q32+Q33+Q35+Q36+Q37+Q38+Q39+Q40+Q41+Q42+Q43+Q44+Q46+Q47+Q48+Q50</f>
        <v>18777</v>
      </c>
      <c r="E59" s="197">
        <f>+N7+N12+N15+N16+N17+N18+N19+N22+N23+N25+N24+N26+N27+N28+N29+N32+N33+N35+N36+N37+N38+N39+N40+N41+N42+N43+N44+N46+N47+N48+N50</f>
        <v>18777</v>
      </c>
      <c r="F59" s="197">
        <v>0</v>
      </c>
      <c r="G59" s="197">
        <f>+D59+E59</f>
        <v>37554</v>
      </c>
    </row>
    <row r="60" spans="1:18">
      <c r="B60" s="191" t="s">
        <v>175</v>
      </c>
      <c r="C60" s="204">
        <f>+F8+F9+F10+F11+F13+F14+F20+F21+F30+F31+F34+F45+F49</f>
        <v>228900</v>
      </c>
      <c r="D60" s="204">
        <f>+Q8+Q9+Q10+Q11+Q13+Q14+Q20+Q21+Q30+Q31+Q34+Q45+Q49</f>
        <v>9445</v>
      </c>
      <c r="E60" s="204">
        <f>+N8+N9+N10+N11+N13+N14+N20+N21+N30+N31+N34+N45+N49</f>
        <v>9445</v>
      </c>
      <c r="F60" s="204">
        <f>+O10+O13+O14</f>
        <v>7677</v>
      </c>
      <c r="G60" s="204">
        <f>+D60+E60</f>
        <v>18890</v>
      </c>
    </row>
    <row r="61" spans="1:18" ht="24">
      <c r="B61" s="195" t="s">
        <v>147</v>
      </c>
      <c r="C61" s="233">
        <f>SUM(C59:C60)</f>
        <v>723410</v>
      </c>
      <c r="D61" s="233">
        <f>SUM(D59:D60)</f>
        <v>28222</v>
      </c>
      <c r="E61" s="233">
        <f>SUM(E59:E60)</f>
        <v>28222</v>
      </c>
      <c r="F61" s="233">
        <f>SUM(F59:F60)</f>
        <v>7677</v>
      </c>
      <c r="G61" s="233">
        <f>SUM(G59:G60)</f>
        <v>56444</v>
      </c>
    </row>
  </sheetData>
  <autoFilter ref="A5:R51" xr:uid="{278828D0-E6F4-4FB1-BD72-542959265B97}">
    <filterColumn colId="7" showButton="0"/>
    <filterColumn colId="9" showButton="0"/>
    <filterColumn colId="11" showButton="0"/>
    <filterColumn colId="12" showButton="0"/>
    <filterColumn colId="13" showButton="0"/>
  </autoFilter>
  <mergeCells count="17"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J5:K5"/>
    <mergeCell ref="L5:O5"/>
    <mergeCell ref="P5:P6"/>
    <mergeCell ref="Q5:Q6"/>
    <mergeCell ref="R5:R6"/>
    <mergeCell ref="E5:E6"/>
    <mergeCell ref="A51:E51"/>
  </mergeCells>
  <printOptions horizontalCentered="1"/>
  <pageMargins left="0.15748031496062992" right="0.19685039370078741" top="0.74803149606299213" bottom="0.11811023622047245" header="0.31496062992125984" footer="0.31496062992125984"/>
  <pageSetup paperSize="9" scale="61" orientation="landscape" horizontalDpi="4294967293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68673-666A-44C8-A51C-E3B084F68FC8}">
  <dimension ref="A1:Q57"/>
  <sheetViews>
    <sheetView view="pageBreakPreview" zoomScale="90" zoomScaleNormal="90" zoomScaleSheetLayoutView="90" workbookViewId="0">
      <pane xSplit="5" ySplit="6" topLeftCell="F43" activePane="bottomRight" state="frozen"/>
      <selection pane="topRight" activeCell="G1" sqref="G1"/>
      <selection pane="bottomLeft" activeCell="A7" sqref="A7"/>
      <selection pane="bottomRight" activeCell="E52" sqref="E52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2.28515625" style="1" bestFit="1" customWidth="1"/>
    <col min="6" max="6" width="14.7109375" style="1" bestFit="1" customWidth="1"/>
    <col min="7" max="7" width="5" style="1" bestFit="1" customWidth="1"/>
    <col min="8" max="8" width="7.5703125" style="1" bestFit="1" customWidth="1"/>
    <col min="9" max="9" width="3.7109375" style="1" hidden="1" customWidth="1"/>
    <col min="10" max="10" width="7" style="1" hidden="1" customWidth="1"/>
    <col min="11" max="11" width="6.7109375" style="1" hidden="1" customWidth="1"/>
    <col min="12" max="12" width="10" style="1" hidden="1" customWidth="1"/>
    <col min="13" max="13" width="14.140625" style="1" bestFit="1" customWidth="1"/>
    <col min="14" max="14" width="11.85546875" style="168" bestFit="1" customWidth="1"/>
    <col min="15" max="15" width="14.42578125" style="1" bestFit="1" customWidth="1"/>
    <col min="16" max="16" width="12.42578125" style="76" bestFit="1" customWidth="1"/>
    <col min="17" max="17" width="26.85546875" style="1" bestFit="1" customWidth="1"/>
    <col min="18" max="16384" width="9" style="1"/>
  </cols>
  <sheetData>
    <row r="1" spans="1:17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>
      <c r="A3" s="381" t="s">
        <v>166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22.5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63"/>
      <c r="O4" s="9"/>
      <c r="Q4" s="9"/>
    </row>
    <row r="5" spans="1:17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21" t="s">
        <v>161</v>
      </c>
      <c r="Q5" s="376" t="s">
        <v>12</v>
      </c>
    </row>
    <row r="6" spans="1:17" ht="44.25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160</v>
      </c>
      <c r="N6" s="164" t="s">
        <v>150</v>
      </c>
      <c r="O6" s="396"/>
      <c r="P6" s="421"/>
      <c r="Q6" s="377"/>
    </row>
    <row r="7" spans="1:17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ROUND(E7*2.5%,0)</f>
        <v>365</v>
      </c>
      <c r="N7" s="98"/>
      <c r="O7" s="103">
        <f>SUM(E7-M7-N7)</f>
        <v>14235</v>
      </c>
      <c r="P7" s="116">
        <f>ROUND(E7*2.5%,0)</f>
        <v>365</v>
      </c>
      <c r="Q7" s="152"/>
    </row>
    <row r="8" spans="1:17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 t="shared" ref="M8:M50" si="0">ROUND(E8*2.5%,0)</f>
        <v>338</v>
      </c>
      <c r="N8" s="98"/>
      <c r="O8" s="103">
        <f t="shared" ref="O8:O51" si="1">SUM(E8-M8-N8)</f>
        <v>13162</v>
      </c>
      <c r="P8" s="116">
        <f t="shared" ref="P8:P50" si="2">ROUND(E8*2.5%,0)</f>
        <v>338</v>
      </c>
      <c r="Q8" s="100"/>
    </row>
    <row r="9" spans="1:17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si="0"/>
        <v>335</v>
      </c>
      <c r="N9" s="98"/>
      <c r="O9" s="103">
        <f t="shared" si="1"/>
        <v>13065</v>
      </c>
      <c r="P9" s="116">
        <f t="shared" si="2"/>
        <v>335</v>
      </c>
      <c r="Q9" s="100"/>
    </row>
    <row r="10" spans="1:17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375</v>
      </c>
      <c r="N10" s="98">
        <v>1785</v>
      </c>
      <c r="O10" s="103">
        <f t="shared" si="1"/>
        <v>14340</v>
      </c>
      <c r="P10" s="116">
        <v>375</v>
      </c>
      <c r="Q10" s="100"/>
    </row>
    <row r="11" spans="1:17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375</v>
      </c>
      <c r="N11" s="98"/>
      <c r="O11" s="103">
        <f t="shared" si="1"/>
        <v>16925</v>
      </c>
      <c r="P11" s="116">
        <v>375</v>
      </c>
      <c r="Q11" s="100"/>
    </row>
    <row r="12" spans="1:17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375</v>
      </c>
      <c r="N12" s="98"/>
      <c r="O12" s="103">
        <f t="shared" si="1"/>
        <v>18625</v>
      </c>
      <c r="P12" s="116">
        <v>375</v>
      </c>
      <c r="Q12" s="100"/>
    </row>
    <row r="13" spans="1:17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375</v>
      </c>
      <c r="N13" s="98">
        <v>4076</v>
      </c>
      <c r="O13" s="103">
        <f t="shared" si="1"/>
        <v>20549</v>
      </c>
      <c r="P13" s="116">
        <v>375</v>
      </c>
      <c r="Q13" s="100"/>
    </row>
    <row r="14" spans="1:17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375</v>
      </c>
      <c r="N14" s="98">
        <v>1816</v>
      </c>
      <c r="O14" s="103">
        <f t="shared" si="1"/>
        <v>18309</v>
      </c>
      <c r="P14" s="116">
        <v>375</v>
      </c>
      <c r="Q14" s="100"/>
    </row>
    <row r="15" spans="1:17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375</v>
      </c>
      <c r="N15" s="98"/>
      <c r="O15" s="103">
        <f t="shared" si="1"/>
        <v>24625</v>
      </c>
      <c r="P15" s="116">
        <v>375</v>
      </c>
      <c r="Q15" s="100"/>
    </row>
    <row r="16" spans="1:17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375</v>
      </c>
      <c r="N16" s="98"/>
      <c r="O16" s="103">
        <f t="shared" si="1"/>
        <v>19325</v>
      </c>
      <c r="P16" s="116">
        <v>375</v>
      </c>
      <c r="Q16" s="100"/>
    </row>
    <row r="17" spans="1:17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375</v>
      </c>
      <c r="N17" s="98"/>
      <c r="O17" s="103">
        <f t="shared" si="1"/>
        <v>17225</v>
      </c>
      <c r="P17" s="116">
        <v>375</v>
      </c>
      <c r="Q17" s="100"/>
    </row>
    <row r="18" spans="1:17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375</v>
      </c>
      <c r="N18" s="98"/>
      <c r="O18" s="103">
        <f t="shared" si="1"/>
        <v>24625</v>
      </c>
      <c r="P18" s="116">
        <v>375</v>
      </c>
      <c r="Q18" s="100"/>
    </row>
    <row r="19" spans="1:17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375</v>
      </c>
      <c r="N19" s="98"/>
      <c r="O19" s="103">
        <f t="shared" si="1"/>
        <v>22325</v>
      </c>
      <c r="P19" s="116">
        <v>375</v>
      </c>
      <c r="Q19" s="100"/>
    </row>
    <row r="20" spans="1:17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375</v>
      </c>
      <c r="N20" s="98"/>
      <c r="O20" s="103">
        <f t="shared" si="1"/>
        <v>23125</v>
      </c>
      <c r="P20" s="116">
        <v>375</v>
      </c>
      <c r="Q20" s="100"/>
    </row>
    <row r="21" spans="1:17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375</v>
      </c>
      <c r="N21" s="98"/>
      <c r="O21" s="103">
        <f t="shared" si="1"/>
        <v>24625</v>
      </c>
      <c r="P21" s="116">
        <v>375</v>
      </c>
      <c r="Q21" s="100"/>
    </row>
    <row r="22" spans="1:17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375</v>
      </c>
      <c r="N22" s="98"/>
      <c r="O22" s="103">
        <f t="shared" si="1"/>
        <v>24625</v>
      </c>
      <c r="P22" s="116">
        <v>375</v>
      </c>
      <c r="Q22" s="100"/>
    </row>
    <row r="23" spans="1:17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375</v>
      </c>
      <c r="N23" s="98"/>
      <c r="O23" s="103">
        <f t="shared" si="1"/>
        <v>24625</v>
      </c>
      <c r="P23" s="116">
        <v>375</v>
      </c>
      <c r="Q23" s="100"/>
    </row>
    <row r="24" spans="1:17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375</v>
      </c>
      <c r="N24" s="98"/>
      <c r="O24" s="103">
        <f t="shared" si="1"/>
        <v>24625</v>
      </c>
      <c r="P24" s="116">
        <v>375</v>
      </c>
      <c r="Q24" s="100"/>
    </row>
    <row r="25" spans="1:17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375</v>
      </c>
      <c r="N25" s="98"/>
      <c r="O25" s="103">
        <f t="shared" si="1"/>
        <v>24625</v>
      </c>
      <c r="P25" s="116">
        <v>375</v>
      </c>
      <c r="Q25" s="100"/>
    </row>
    <row r="26" spans="1:17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375</v>
      </c>
      <c r="N26" s="98"/>
      <c r="O26" s="103">
        <f t="shared" si="1"/>
        <v>24625</v>
      </c>
      <c r="P26" s="116">
        <v>375</v>
      </c>
      <c r="Q26" s="100"/>
    </row>
    <row r="27" spans="1:17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f>+G27*H27</f>
        <v>9000</v>
      </c>
      <c r="F27" s="123"/>
      <c r="G27" s="123">
        <v>400</v>
      </c>
      <c r="H27" s="123">
        <v>22.5</v>
      </c>
      <c r="I27" s="123"/>
      <c r="J27" s="123"/>
      <c r="K27" s="126"/>
      <c r="L27" s="124"/>
      <c r="M27" s="124">
        <f t="shared" si="0"/>
        <v>225</v>
      </c>
      <c r="N27" s="135"/>
      <c r="O27" s="124">
        <f t="shared" si="1"/>
        <v>8775</v>
      </c>
      <c r="P27" s="128">
        <f t="shared" si="2"/>
        <v>225</v>
      </c>
      <c r="Q27" s="124"/>
    </row>
    <row r="28" spans="1:17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8640</v>
      </c>
      <c r="F28" s="123"/>
      <c r="G28" s="123">
        <v>360</v>
      </c>
      <c r="H28" s="123">
        <v>24</v>
      </c>
      <c r="I28" s="123"/>
      <c r="J28" s="123"/>
      <c r="K28" s="126"/>
      <c r="L28" s="124"/>
      <c r="M28" s="124">
        <f t="shared" si="0"/>
        <v>216</v>
      </c>
      <c r="N28" s="135"/>
      <c r="O28" s="124">
        <f t="shared" si="1"/>
        <v>8424</v>
      </c>
      <c r="P28" s="128">
        <f t="shared" si="2"/>
        <v>216</v>
      </c>
      <c r="Q28" s="124"/>
    </row>
    <row r="29" spans="1:17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375</v>
      </c>
      <c r="N29" s="98"/>
      <c r="O29" s="103">
        <f t="shared" si="1"/>
        <v>24625</v>
      </c>
      <c r="P29" s="98">
        <v>375</v>
      </c>
      <c r="Q29" s="100"/>
    </row>
    <row r="30" spans="1:17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375</v>
      </c>
      <c r="N30" s="98"/>
      <c r="O30" s="103">
        <f t="shared" si="1"/>
        <v>15125</v>
      </c>
      <c r="P30" s="116">
        <v>375</v>
      </c>
      <c r="Q30" s="100"/>
    </row>
    <row r="31" spans="1:17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375</v>
      </c>
      <c r="N31" s="98"/>
      <c r="O31" s="103">
        <f t="shared" si="1"/>
        <v>15125</v>
      </c>
      <c r="P31" s="116">
        <v>375</v>
      </c>
      <c r="Q31" s="100"/>
    </row>
    <row r="32" spans="1:17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375</v>
      </c>
      <c r="N32" s="98"/>
      <c r="O32" s="103">
        <f t="shared" si="1"/>
        <v>24625</v>
      </c>
      <c r="P32" s="116">
        <v>375</v>
      </c>
      <c r="Q32" s="102"/>
    </row>
    <row r="33" spans="1:17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9120</v>
      </c>
      <c r="F33" s="125" t="s">
        <v>88</v>
      </c>
      <c r="G33" s="123">
        <v>380</v>
      </c>
      <c r="H33" s="123">
        <v>24</v>
      </c>
      <c r="I33" s="123"/>
      <c r="J33" s="123"/>
      <c r="K33" s="126"/>
      <c r="L33" s="124"/>
      <c r="M33" s="124">
        <f>ROUND(E33*2.5%,0)</f>
        <v>228</v>
      </c>
      <c r="N33" s="135"/>
      <c r="O33" s="124">
        <f t="shared" si="1"/>
        <v>8892</v>
      </c>
      <c r="P33" s="128">
        <f t="shared" si="2"/>
        <v>228</v>
      </c>
      <c r="Q33" s="127"/>
    </row>
    <row r="34" spans="1:17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375</v>
      </c>
      <c r="N34" s="98"/>
      <c r="O34" s="103">
        <f t="shared" si="1"/>
        <v>15825</v>
      </c>
      <c r="P34" s="116">
        <v>375</v>
      </c>
      <c r="Q34" s="100"/>
    </row>
    <row r="35" spans="1:17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7590</v>
      </c>
      <c r="F35" s="125" t="s">
        <v>96</v>
      </c>
      <c r="G35" s="123">
        <v>330</v>
      </c>
      <c r="H35" s="123">
        <v>23</v>
      </c>
      <c r="I35" s="123"/>
      <c r="J35" s="123"/>
      <c r="K35" s="126"/>
      <c r="L35" s="124"/>
      <c r="M35" s="124">
        <f t="shared" si="0"/>
        <v>190</v>
      </c>
      <c r="N35" s="135"/>
      <c r="O35" s="124">
        <f t="shared" si="1"/>
        <v>7400</v>
      </c>
      <c r="P35" s="128">
        <f t="shared" si="2"/>
        <v>190</v>
      </c>
      <c r="Q35" s="127"/>
    </row>
    <row r="36" spans="1:17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7590</v>
      </c>
      <c r="F36" s="125" t="s">
        <v>96</v>
      </c>
      <c r="G36" s="123">
        <v>330</v>
      </c>
      <c r="H36" s="123">
        <v>23</v>
      </c>
      <c r="I36" s="123"/>
      <c r="J36" s="123"/>
      <c r="K36" s="126"/>
      <c r="L36" s="124"/>
      <c r="M36" s="124">
        <f t="shared" si="0"/>
        <v>190</v>
      </c>
      <c r="N36" s="135"/>
      <c r="O36" s="124">
        <f t="shared" si="1"/>
        <v>7400</v>
      </c>
      <c r="P36" s="128">
        <f t="shared" si="2"/>
        <v>190</v>
      </c>
      <c r="Q36" s="127"/>
    </row>
    <row r="37" spans="1:17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7590</v>
      </c>
      <c r="F37" s="125" t="s">
        <v>96</v>
      </c>
      <c r="G37" s="123">
        <v>330</v>
      </c>
      <c r="H37" s="123">
        <v>23</v>
      </c>
      <c r="I37" s="123"/>
      <c r="J37" s="123"/>
      <c r="K37" s="126"/>
      <c r="L37" s="124"/>
      <c r="M37" s="124">
        <f t="shared" si="0"/>
        <v>190</v>
      </c>
      <c r="N37" s="135"/>
      <c r="O37" s="124">
        <f t="shared" si="1"/>
        <v>7400</v>
      </c>
      <c r="P37" s="128">
        <f t="shared" si="2"/>
        <v>190</v>
      </c>
      <c r="Q37" s="124"/>
    </row>
    <row r="38" spans="1:17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7920</v>
      </c>
      <c r="F38" s="125" t="s">
        <v>96</v>
      </c>
      <c r="G38" s="123">
        <v>330</v>
      </c>
      <c r="H38" s="123">
        <v>24</v>
      </c>
      <c r="I38" s="123"/>
      <c r="J38" s="123"/>
      <c r="K38" s="126"/>
      <c r="L38" s="124"/>
      <c r="M38" s="124">
        <f t="shared" si="0"/>
        <v>198</v>
      </c>
      <c r="N38" s="135"/>
      <c r="O38" s="124">
        <f t="shared" si="1"/>
        <v>7722</v>
      </c>
      <c r="P38" s="128">
        <f t="shared" si="2"/>
        <v>198</v>
      </c>
      <c r="Q38" s="124"/>
    </row>
    <row r="39" spans="1:17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9600</v>
      </c>
      <c r="F39" s="133" t="s">
        <v>107</v>
      </c>
      <c r="G39" s="132">
        <v>400</v>
      </c>
      <c r="H39" s="132">
        <v>24</v>
      </c>
      <c r="I39" s="132"/>
      <c r="J39" s="132"/>
      <c r="K39" s="134"/>
      <c r="L39" s="135"/>
      <c r="M39" s="124">
        <f t="shared" si="0"/>
        <v>240</v>
      </c>
      <c r="N39" s="135"/>
      <c r="O39" s="124">
        <f t="shared" si="1"/>
        <v>9360</v>
      </c>
      <c r="P39" s="128">
        <f t="shared" si="2"/>
        <v>240</v>
      </c>
      <c r="Q39" s="124"/>
    </row>
    <row r="40" spans="1:17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7590</v>
      </c>
      <c r="F40" s="133" t="s">
        <v>111</v>
      </c>
      <c r="G40" s="132">
        <v>330</v>
      </c>
      <c r="H40" s="132">
        <v>23</v>
      </c>
      <c r="I40" s="132"/>
      <c r="J40" s="132"/>
      <c r="K40" s="134"/>
      <c r="L40" s="135"/>
      <c r="M40" s="124">
        <f t="shared" si="0"/>
        <v>190</v>
      </c>
      <c r="N40" s="135"/>
      <c r="O40" s="124">
        <f t="shared" si="1"/>
        <v>7400</v>
      </c>
      <c r="P40" s="128">
        <f t="shared" si="2"/>
        <v>190</v>
      </c>
      <c r="Q40" s="124"/>
    </row>
    <row r="41" spans="1:17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7590</v>
      </c>
      <c r="F41" s="133" t="s">
        <v>111</v>
      </c>
      <c r="G41" s="132">
        <v>330</v>
      </c>
      <c r="H41" s="132">
        <v>23</v>
      </c>
      <c r="I41" s="132"/>
      <c r="J41" s="132"/>
      <c r="K41" s="134"/>
      <c r="L41" s="135"/>
      <c r="M41" s="124">
        <f t="shared" si="0"/>
        <v>190</v>
      </c>
      <c r="N41" s="135"/>
      <c r="O41" s="124">
        <f t="shared" si="1"/>
        <v>7400</v>
      </c>
      <c r="P41" s="128">
        <f t="shared" si="2"/>
        <v>190</v>
      </c>
      <c r="Q41" s="124"/>
    </row>
    <row r="42" spans="1:17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7920</v>
      </c>
      <c r="F42" s="133" t="s">
        <v>111</v>
      </c>
      <c r="G42" s="132">
        <v>330</v>
      </c>
      <c r="H42" s="132">
        <v>24</v>
      </c>
      <c r="I42" s="132"/>
      <c r="J42" s="132"/>
      <c r="K42" s="134"/>
      <c r="L42" s="135"/>
      <c r="M42" s="124">
        <f t="shared" si="0"/>
        <v>198</v>
      </c>
      <c r="N42" s="135"/>
      <c r="O42" s="124">
        <f t="shared" si="1"/>
        <v>7722</v>
      </c>
      <c r="P42" s="128">
        <f t="shared" si="2"/>
        <v>198</v>
      </c>
      <c r="Q42" s="132"/>
    </row>
    <row r="43" spans="1:17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375</v>
      </c>
      <c r="N43" s="98"/>
      <c r="O43" s="103">
        <f t="shared" si="1"/>
        <v>24625</v>
      </c>
      <c r="P43" s="116">
        <v>375</v>
      </c>
      <c r="Q43" s="100"/>
    </row>
    <row r="44" spans="1:17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7920</v>
      </c>
      <c r="F44" s="138" t="s">
        <v>106</v>
      </c>
      <c r="G44" s="123">
        <v>330</v>
      </c>
      <c r="H44" s="123">
        <v>24</v>
      </c>
      <c r="I44" s="123"/>
      <c r="J44" s="123"/>
      <c r="K44" s="126"/>
      <c r="L44" s="124"/>
      <c r="M44" s="124">
        <f t="shared" si="0"/>
        <v>198</v>
      </c>
      <c r="N44" s="135"/>
      <c r="O44" s="124">
        <f t="shared" si="1"/>
        <v>7722</v>
      </c>
      <c r="P44" s="128">
        <f t="shared" si="2"/>
        <v>198</v>
      </c>
      <c r="Q44" s="139"/>
    </row>
    <row r="45" spans="1:17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 t="shared" si="0"/>
        <v>300</v>
      </c>
      <c r="N45" s="98"/>
      <c r="O45" s="103">
        <f t="shared" si="1"/>
        <v>11700</v>
      </c>
      <c r="P45" s="116">
        <f t="shared" si="2"/>
        <v>300</v>
      </c>
      <c r="Q45" s="100"/>
    </row>
    <row r="46" spans="1:17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103">
        <f t="shared" si="0"/>
        <v>375</v>
      </c>
      <c r="N46" s="98"/>
      <c r="O46" s="103">
        <f t="shared" si="1"/>
        <v>14625</v>
      </c>
      <c r="P46" s="116">
        <f t="shared" si="2"/>
        <v>375</v>
      </c>
      <c r="Q46" s="95"/>
    </row>
    <row r="47" spans="1:17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103">
        <f t="shared" si="0"/>
        <v>375</v>
      </c>
      <c r="N47" s="98"/>
      <c r="O47" s="103">
        <f t="shared" si="1"/>
        <v>14625</v>
      </c>
      <c r="P47" s="116">
        <f t="shared" si="2"/>
        <v>375</v>
      </c>
      <c r="Q47" s="95"/>
    </row>
    <row r="48" spans="1:17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103">
        <f t="shared" si="0"/>
        <v>375</v>
      </c>
      <c r="N48" s="98"/>
      <c r="O48" s="103">
        <f t="shared" si="1"/>
        <v>14625</v>
      </c>
      <c r="P48" s="116">
        <f t="shared" si="2"/>
        <v>375</v>
      </c>
      <c r="Q48" s="95"/>
    </row>
    <row r="49" spans="1:17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103">
        <f t="shared" si="0"/>
        <v>375</v>
      </c>
      <c r="N49" s="98"/>
      <c r="O49" s="103">
        <f t="shared" si="1"/>
        <v>14625</v>
      </c>
      <c r="P49" s="116">
        <f t="shared" si="2"/>
        <v>375</v>
      </c>
      <c r="Q49" s="95"/>
    </row>
    <row r="50" spans="1:17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>
        <f>G50*H50</f>
        <v>8400</v>
      </c>
      <c r="F50" s="144" t="s">
        <v>139</v>
      </c>
      <c r="G50" s="143">
        <v>350</v>
      </c>
      <c r="H50" s="143">
        <v>24</v>
      </c>
      <c r="I50" s="143"/>
      <c r="J50" s="143"/>
      <c r="K50" s="145"/>
      <c r="L50" s="128"/>
      <c r="M50" s="124">
        <f t="shared" si="0"/>
        <v>210</v>
      </c>
      <c r="N50" s="128"/>
      <c r="O50" s="124">
        <f t="shared" si="1"/>
        <v>8190</v>
      </c>
      <c r="P50" s="128">
        <f t="shared" si="2"/>
        <v>210</v>
      </c>
      <c r="Q50" s="146"/>
    </row>
    <row r="51" spans="1:17" s="105" customFormat="1">
      <c r="A51" s="117">
        <v>45</v>
      </c>
      <c r="B51" s="180" t="s">
        <v>163</v>
      </c>
      <c r="C51" s="181">
        <v>6016100144033</v>
      </c>
      <c r="D51" s="182" t="s">
        <v>32</v>
      </c>
      <c r="E51" s="116">
        <v>20000</v>
      </c>
      <c r="F51" s="99" t="s">
        <v>164</v>
      </c>
      <c r="G51" s="95"/>
      <c r="H51" s="95"/>
      <c r="I51" s="183"/>
      <c r="J51" s="183"/>
      <c r="K51" s="184"/>
      <c r="L51" s="185"/>
      <c r="M51" s="103">
        <v>375</v>
      </c>
      <c r="N51" s="116"/>
      <c r="O51" s="103">
        <f t="shared" si="1"/>
        <v>19625</v>
      </c>
      <c r="P51" s="116">
        <v>375</v>
      </c>
      <c r="Q51" s="186"/>
    </row>
    <row r="52" spans="1:17" s="86" customFormat="1" ht="22.5" thickBot="1">
      <c r="A52" s="402" t="s">
        <v>103</v>
      </c>
      <c r="B52" s="402"/>
      <c r="C52" s="402"/>
      <c r="D52" s="402"/>
      <c r="E52" s="89">
        <f>SUM(E7:E51)</f>
        <v>743970</v>
      </c>
      <c r="F52" s="87"/>
      <c r="G52" s="87"/>
      <c r="H52" s="87"/>
      <c r="I52" s="87"/>
      <c r="J52" s="87"/>
      <c r="K52" s="87"/>
      <c r="L52" s="87"/>
      <c r="M52" s="89">
        <f>SUM(M7:M51)</f>
        <v>14501</v>
      </c>
      <c r="N52" s="89">
        <f t="shared" ref="N52:P52" si="4">SUM(N7:N51)</f>
        <v>7677</v>
      </c>
      <c r="O52" s="89">
        <f t="shared" si="4"/>
        <v>721792</v>
      </c>
      <c r="P52" s="89">
        <f t="shared" si="4"/>
        <v>14501</v>
      </c>
      <c r="Q52" s="88"/>
    </row>
    <row r="53" spans="1:17" ht="23.25" thickTop="1" thickBot="1">
      <c r="A53" s="119"/>
      <c r="B53" s="3"/>
      <c r="C53" s="3"/>
      <c r="D53" s="3"/>
      <c r="E53" s="39"/>
      <c r="F53" s="39"/>
      <c r="G53" s="39"/>
      <c r="H53" s="39"/>
      <c r="I53" s="39"/>
      <c r="J53" s="39"/>
      <c r="K53" s="39"/>
      <c r="L53" s="39"/>
      <c r="M53" s="39"/>
      <c r="N53" s="166"/>
      <c r="O53" s="39"/>
      <c r="Q53" s="5"/>
    </row>
    <row r="54" spans="1:17" ht="44.25" thickBot="1">
      <c r="A54" s="119"/>
      <c r="B54" s="50" t="s">
        <v>12</v>
      </c>
      <c r="C54" s="3"/>
      <c r="D54" s="3"/>
      <c r="E54" s="39"/>
      <c r="F54" s="156" t="s">
        <v>145</v>
      </c>
      <c r="G54" s="39"/>
      <c r="H54" s="39"/>
      <c r="I54" s="39"/>
      <c r="J54" s="39"/>
      <c r="K54" s="39"/>
      <c r="L54" s="28" t="s">
        <v>158</v>
      </c>
      <c r="M54" s="153" t="s">
        <v>159</v>
      </c>
      <c r="N54" s="164" t="s">
        <v>150</v>
      </c>
      <c r="O54" s="153" t="s">
        <v>11</v>
      </c>
      <c r="Q54" s="5"/>
    </row>
    <row r="55" spans="1:17">
      <c r="A55" s="119"/>
      <c r="B55" s="52" t="s">
        <v>156</v>
      </c>
      <c r="C55" s="149">
        <v>0</v>
      </c>
      <c r="D55" s="54" t="s">
        <v>142</v>
      </c>
      <c r="E55" s="55" t="s">
        <v>140</v>
      </c>
      <c r="F55" s="170" t="s">
        <v>141</v>
      </c>
      <c r="G55" s="170">
        <v>13</v>
      </c>
      <c r="H55" s="171" t="s">
        <v>142</v>
      </c>
      <c r="I55" s="148"/>
      <c r="J55" s="148"/>
      <c r="L55" s="16">
        <f>+E27+E28+E33+E35+E36+E37+E38+E39+E40+E41+E42+E44+E50</f>
        <v>106470</v>
      </c>
      <c r="M55" s="16">
        <f>+M27+M28+M33+M35+M36+M37+M38+M39+M40+M41+M42+M44+M50</f>
        <v>2663</v>
      </c>
      <c r="N55" s="24">
        <v>0</v>
      </c>
      <c r="O55" s="175">
        <f>+O27+O28+O33+O35+O36+O37+O38+O39+O40+O41+O42+O44+O50</f>
        <v>103807</v>
      </c>
      <c r="Q55" s="5"/>
    </row>
    <row r="56" spans="1:17">
      <c r="A56" s="119"/>
      <c r="B56" s="56" t="s">
        <v>137</v>
      </c>
      <c r="C56" s="150">
        <v>1</v>
      </c>
      <c r="D56" s="6" t="s">
        <v>142</v>
      </c>
      <c r="E56" s="190" t="s">
        <v>162</v>
      </c>
      <c r="F56" s="173" t="s">
        <v>144</v>
      </c>
      <c r="G56" s="173">
        <v>32</v>
      </c>
      <c r="H56" s="174" t="s">
        <v>142</v>
      </c>
      <c r="I56" s="148"/>
      <c r="J56" s="148"/>
      <c r="L56" s="16">
        <f>+E7+E8+E9+E10+E11+E12+E13+E14+E15+E16+E17+E18+E19+E20+E21+E22+E23+E24+E25+E26+E29+E30+E31+E32+E34+E43+E45+E46+E47+E48+E49</f>
        <v>617500</v>
      </c>
      <c r="M56" s="16">
        <f>+M7+M8+M9+M10+M11+M12+M13+M14+M15+M16+M17+M18+M19+M20+M21+M22+M23+M24+M25+M26+M29+M30+M31+M32+M34+M43+M45+M46+M47+M48+M49+M51</f>
        <v>11838</v>
      </c>
      <c r="N56" s="24">
        <f>+N10+N13+N14</f>
        <v>7677</v>
      </c>
      <c r="O56" s="16">
        <f>+O7+O8+O9+O10+O11+O12+O13+O14+O15+O16+O17+O18+O19+O20+O21+O22+O23+O24+O25+O26+O29+O30+O31+O32+O34+O43+O45+O46+O47+O48+O49+O51</f>
        <v>617985</v>
      </c>
      <c r="Q56" s="5"/>
    </row>
    <row r="57" spans="1:17" ht="22.5" thickBot="1">
      <c r="A57" s="119"/>
      <c r="B57" s="419" t="s">
        <v>165</v>
      </c>
      <c r="C57" s="420"/>
      <c r="D57" s="187"/>
      <c r="E57" s="188"/>
      <c r="F57" s="189" t="s">
        <v>147</v>
      </c>
      <c r="G57" s="69">
        <f>SUM(G55:G56)</f>
        <v>45</v>
      </c>
      <c r="H57" s="155" t="s">
        <v>142</v>
      </c>
      <c r="I57" s="154"/>
      <c r="J57" s="154"/>
      <c r="L57" s="176">
        <f>SUM(L55:L56)</f>
        <v>723970</v>
      </c>
      <c r="M57" s="176">
        <f>SUM(M55:M56)</f>
        <v>14501</v>
      </c>
      <c r="N57" s="177">
        <f>SUM(N55:N56)</f>
        <v>7677</v>
      </c>
      <c r="O57" s="176">
        <f>SUM(O55:O56)</f>
        <v>721792</v>
      </c>
    </row>
  </sheetData>
  <mergeCells count="17">
    <mergeCell ref="B57:C57"/>
    <mergeCell ref="I5:J5"/>
    <mergeCell ref="K5:N5"/>
    <mergeCell ref="O5:O6"/>
    <mergeCell ref="P5:P6"/>
    <mergeCell ref="Q5:Q6"/>
    <mergeCell ref="A52:D52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H5"/>
  </mergeCells>
  <printOptions horizontalCentered="1"/>
  <pageMargins left="0.15748031496062992" right="0.19685039370078741" top="0.48" bottom="0.11811023622047245" header="0.31496062992125984" footer="0.31496062992125984"/>
  <pageSetup paperSize="9" scale="69" orientation="landscape" horizontalDpi="4294967293" r:id="rId1"/>
  <rowBreaks count="1" manualBreakCount="1">
    <brk id="2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5F88-83B7-4B33-9CA7-C144417A2834}">
  <dimension ref="A1:R62"/>
  <sheetViews>
    <sheetView view="pageBreakPreview" zoomScale="90" zoomScaleNormal="90" zoomScaleSheetLayoutView="90" workbookViewId="0">
      <pane xSplit="6" ySplit="6" topLeftCell="G52" activePane="bottomRight" state="frozen"/>
      <selection pane="topRight" activeCell="G1" sqref="G1"/>
      <selection pane="bottomLeft" activeCell="A7" sqref="A7"/>
      <selection pane="bottomRight" activeCell="B59" sqref="B59:G62"/>
    </sheetView>
  </sheetViews>
  <sheetFormatPr defaultColWidth="9" defaultRowHeight="21.75"/>
  <cols>
    <col min="1" max="1" width="9" style="120"/>
    <col min="2" max="3" width="22.7109375" style="1" customWidth="1"/>
    <col min="4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" style="1" hidden="1" customWidth="1"/>
    <col min="14" max="14" width="14.140625" style="1" bestFit="1" customWidth="1"/>
    <col min="15" max="15" width="11.85546875" style="168" bestFit="1" customWidth="1"/>
    <col min="16" max="16" width="14.42578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166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21" t="s">
        <v>161</v>
      </c>
      <c r="R5" s="376" t="s">
        <v>12</v>
      </c>
    </row>
    <row r="6" spans="1:18" ht="44.25" thickBot="1">
      <c r="A6" s="415"/>
      <c r="B6" s="383"/>
      <c r="C6" s="385"/>
      <c r="D6" s="383"/>
      <c r="E6" s="387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160</v>
      </c>
      <c r="O6" s="164" t="s">
        <v>150</v>
      </c>
      <c r="P6" s="396"/>
      <c r="Q6" s="421"/>
      <c r="R6" s="377"/>
    </row>
    <row r="7" spans="1:18" s="200" customFormat="1">
      <c r="A7" s="235">
        <v>1</v>
      </c>
      <c r="B7" s="196" t="s">
        <v>20</v>
      </c>
      <c r="C7" s="199" t="s">
        <v>21</v>
      </c>
      <c r="D7" s="199" t="s">
        <v>22</v>
      </c>
      <c r="E7" s="198" t="s">
        <v>168</v>
      </c>
      <c r="F7" s="198">
        <v>14600</v>
      </c>
      <c r="G7" s="199"/>
      <c r="H7" s="199"/>
      <c r="I7" s="199"/>
      <c r="J7" s="107"/>
      <c r="K7" s="107"/>
      <c r="L7" s="109"/>
      <c r="M7" s="103"/>
      <c r="N7" s="198">
        <f>ROUND(F7*2.5%,0)</f>
        <v>365</v>
      </c>
      <c r="O7" s="248"/>
      <c r="P7" s="198">
        <f t="shared" ref="P7:P51" si="0">SUM(F7-N7-O7)</f>
        <v>14235</v>
      </c>
      <c r="Q7" s="236">
        <f>ROUND(F7*2.5%,0)</f>
        <v>365</v>
      </c>
      <c r="R7" s="237"/>
    </row>
    <row r="8" spans="1:18" s="194" customFormat="1">
      <c r="A8" s="255">
        <v>2</v>
      </c>
      <c r="B8" s="192" t="s">
        <v>23</v>
      </c>
      <c r="C8" s="191" t="s">
        <v>24</v>
      </c>
      <c r="D8" s="191" t="s">
        <v>19</v>
      </c>
      <c r="E8" s="193" t="s">
        <v>169</v>
      </c>
      <c r="F8" s="193">
        <v>13500</v>
      </c>
      <c r="G8" s="191"/>
      <c r="H8" s="191"/>
      <c r="I8" s="191"/>
      <c r="J8" s="107"/>
      <c r="K8" s="107"/>
      <c r="L8" s="109"/>
      <c r="M8" s="103"/>
      <c r="N8" s="193">
        <f>ROUND(F8*2.5%,0)</f>
        <v>338</v>
      </c>
      <c r="O8" s="261"/>
      <c r="P8" s="193">
        <f t="shared" si="0"/>
        <v>13162</v>
      </c>
      <c r="Q8" s="256">
        <f>ROUND(F8*2.5%,0)</f>
        <v>338</v>
      </c>
      <c r="R8" s="257"/>
    </row>
    <row r="9" spans="1:18" s="194" customFormat="1">
      <c r="A9" s="255">
        <v>3</v>
      </c>
      <c r="B9" s="192" t="s">
        <v>25</v>
      </c>
      <c r="C9" s="191" t="s">
        <v>26</v>
      </c>
      <c r="D9" s="191" t="s">
        <v>27</v>
      </c>
      <c r="E9" s="193" t="s">
        <v>169</v>
      </c>
      <c r="F9" s="193">
        <v>13400</v>
      </c>
      <c r="G9" s="191"/>
      <c r="H9" s="191"/>
      <c r="I9" s="191"/>
      <c r="J9" s="107"/>
      <c r="K9" s="107"/>
      <c r="L9" s="109"/>
      <c r="M9" s="103"/>
      <c r="N9" s="193">
        <f>ROUND(F9*2.5%,0)</f>
        <v>335</v>
      </c>
      <c r="O9" s="261"/>
      <c r="P9" s="193">
        <f t="shared" si="0"/>
        <v>13065</v>
      </c>
      <c r="Q9" s="256">
        <f>ROUND(F9*2.5%,0)</f>
        <v>335</v>
      </c>
      <c r="R9" s="257"/>
    </row>
    <row r="10" spans="1:18" s="194" customFormat="1">
      <c r="A10" s="255">
        <v>4</v>
      </c>
      <c r="B10" s="192" t="s">
        <v>30</v>
      </c>
      <c r="C10" s="191" t="s">
        <v>31</v>
      </c>
      <c r="D10" s="191" t="s">
        <v>32</v>
      </c>
      <c r="E10" s="193" t="s">
        <v>169</v>
      </c>
      <c r="F10" s="193">
        <v>16500</v>
      </c>
      <c r="G10" s="191"/>
      <c r="H10" s="191"/>
      <c r="I10" s="191"/>
      <c r="J10" s="107"/>
      <c r="K10" s="107"/>
      <c r="L10" s="109"/>
      <c r="M10" s="103"/>
      <c r="N10" s="193">
        <v>375</v>
      </c>
      <c r="O10" s="261">
        <v>1785</v>
      </c>
      <c r="P10" s="193">
        <f t="shared" si="0"/>
        <v>14340</v>
      </c>
      <c r="Q10" s="256">
        <v>375</v>
      </c>
      <c r="R10" s="257"/>
    </row>
    <row r="11" spans="1:18" s="194" customFormat="1">
      <c r="A11" s="255">
        <v>5</v>
      </c>
      <c r="B11" s="192" t="s">
        <v>33</v>
      </c>
      <c r="C11" s="191" t="s">
        <v>34</v>
      </c>
      <c r="D11" s="191" t="s">
        <v>32</v>
      </c>
      <c r="E11" s="193" t="s">
        <v>169</v>
      </c>
      <c r="F11" s="193">
        <v>17300</v>
      </c>
      <c r="G11" s="191"/>
      <c r="H11" s="191"/>
      <c r="I11" s="191"/>
      <c r="J11" s="107"/>
      <c r="K11" s="107"/>
      <c r="L11" s="109"/>
      <c r="M11" s="103"/>
      <c r="N11" s="193">
        <v>375</v>
      </c>
      <c r="O11" s="261"/>
      <c r="P11" s="193">
        <f t="shared" si="0"/>
        <v>16925</v>
      </c>
      <c r="Q11" s="256">
        <v>375</v>
      </c>
      <c r="R11" s="257"/>
    </row>
    <row r="12" spans="1:18" s="200" customFormat="1">
      <c r="A12" s="235">
        <v>6</v>
      </c>
      <c r="B12" s="196" t="s">
        <v>35</v>
      </c>
      <c r="C12" s="199" t="s">
        <v>36</v>
      </c>
      <c r="D12" s="199" t="s">
        <v>37</v>
      </c>
      <c r="E12" s="198" t="s">
        <v>168</v>
      </c>
      <c r="F12" s="198">
        <v>19000</v>
      </c>
      <c r="G12" s="199"/>
      <c r="H12" s="199"/>
      <c r="I12" s="199"/>
      <c r="J12" s="107"/>
      <c r="K12" s="107"/>
      <c r="L12" s="109"/>
      <c r="M12" s="103"/>
      <c r="N12" s="198">
        <v>375</v>
      </c>
      <c r="O12" s="248"/>
      <c r="P12" s="198">
        <f t="shared" si="0"/>
        <v>18625</v>
      </c>
      <c r="Q12" s="236">
        <v>375</v>
      </c>
      <c r="R12" s="238"/>
    </row>
    <row r="13" spans="1:18" s="194" customFormat="1">
      <c r="A13" s="255">
        <v>7</v>
      </c>
      <c r="B13" s="192" t="s">
        <v>38</v>
      </c>
      <c r="C13" s="191" t="s">
        <v>39</v>
      </c>
      <c r="D13" s="191" t="s">
        <v>32</v>
      </c>
      <c r="E13" s="193" t="s">
        <v>169</v>
      </c>
      <c r="F13" s="193">
        <v>25000</v>
      </c>
      <c r="G13" s="191"/>
      <c r="H13" s="191"/>
      <c r="I13" s="191"/>
      <c r="J13" s="107"/>
      <c r="K13" s="107"/>
      <c r="L13" s="109"/>
      <c r="M13" s="103"/>
      <c r="N13" s="193">
        <v>375</v>
      </c>
      <c r="O13" s="261">
        <v>4076</v>
      </c>
      <c r="P13" s="193">
        <f t="shared" si="0"/>
        <v>20549</v>
      </c>
      <c r="Q13" s="256">
        <v>375</v>
      </c>
      <c r="R13" s="257"/>
    </row>
    <row r="14" spans="1:18" s="194" customFormat="1">
      <c r="A14" s="255">
        <v>8</v>
      </c>
      <c r="B14" s="192" t="s">
        <v>40</v>
      </c>
      <c r="C14" s="191" t="s">
        <v>41</v>
      </c>
      <c r="D14" s="191" t="s">
        <v>32</v>
      </c>
      <c r="E14" s="193" t="s">
        <v>169</v>
      </c>
      <c r="F14" s="193">
        <v>20500</v>
      </c>
      <c r="G14" s="191"/>
      <c r="H14" s="191"/>
      <c r="I14" s="191"/>
      <c r="J14" s="107"/>
      <c r="K14" s="107"/>
      <c r="L14" s="109"/>
      <c r="M14" s="103"/>
      <c r="N14" s="193">
        <v>375</v>
      </c>
      <c r="O14" s="261">
        <v>1816</v>
      </c>
      <c r="P14" s="193">
        <f t="shared" si="0"/>
        <v>18309</v>
      </c>
      <c r="Q14" s="256">
        <v>375</v>
      </c>
      <c r="R14" s="257"/>
    </row>
    <row r="15" spans="1:18" s="200" customFormat="1">
      <c r="A15" s="235">
        <v>9</v>
      </c>
      <c r="B15" s="196" t="s">
        <v>42</v>
      </c>
      <c r="C15" s="199" t="s">
        <v>43</v>
      </c>
      <c r="D15" s="199" t="s">
        <v>44</v>
      </c>
      <c r="E15" s="198" t="s">
        <v>168</v>
      </c>
      <c r="F15" s="198">
        <v>25000</v>
      </c>
      <c r="G15" s="199"/>
      <c r="H15" s="199"/>
      <c r="I15" s="199"/>
      <c r="J15" s="107"/>
      <c r="K15" s="107"/>
      <c r="L15" s="109"/>
      <c r="M15" s="103"/>
      <c r="N15" s="198">
        <v>375</v>
      </c>
      <c r="O15" s="248"/>
      <c r="P15" s="198">
        <f t="shared" si="0"/>
        <v>24625</v>
      </c>
      <c r="Q15" s="236">
        <v>375</v>
      </c>
      <c r="R15" s="238"/>
    </row>
    <row r="16" spans="1:18" s="200" customFormat="1">
      <c r="A16" s="235">
        <v>10</v>
      </c>
      <c r="B16" s="196" t="s">
        <v>45</v>
      </c>
      <c r="C16" s="199" t="s">
        <v>46</v>
      </c>
      <c r="D16" s="199" t="s">
        <v>44</v>
      </c>
      <c r="E16" s="198" t="s">
        <v>168</v>
      </c>
      <c r="F16" s="198">
        <v>19700</v>
      </c>
      <c r="G16" s="199"/>
      <c r="H16" s="199"/>
      <c r="I16" s="199"/>
      <c r="J16" s="107"/>
      <c r="K16" s="107"/>
      <c r="L16" s="109"/>
      <c r="M16" s="103"/>
      <c r="N16" s="198">
        <v>375</v>
      </c>
      <c r="O16" s="248"/>
      <c r="P16" s="198">
        <f t="shared" si="0"/>
        <v>19325</v>
      </c>
      <c r="Q16" s="236">
        <v>375</v>
      </c>
      <c r="R16" s="238"/>
    </row>
    <row r="17" spans="1:18" s="200" customFormat="1">
      <c r="A17" s="235">
        <v>11</v>
      </c>
      <c r="B17" s="196" t="s">
        <v>47</v>
      </c>
      <c r="C17" s="199" t="s">
        <v>48</v>
      </c>
      <c r="D17" s="199" t="s">
        <v>44</v>
      </c>
      <c r="E17" s="198" t="s">
        <v>168</v>
      </c>
      <c r="F17" s="198">
        <v>17600</v>
      </c>
      <c r="G17" s="199"/>
      <c r="H17" s="199"/>
      <c r="I17" s="199"/>
      <c r="J17" s="107"/>
      <c r="K17" s="107"/>
      <c r="L17" s="109"/>
      <c r="M17" s="103"/>
      <c r="N17" s="198">
        <v>375</v>
      </c>
      <c r="O17" s="248"/>
      <c r="P17" s="198">
        <f t="shared" si="0"/>
        <v>17225</v>
      </c>
      <c r="Q17" s="236">
        <v>375</v>
      </c>
      <c r="R17" s="238"/>
    </row>
    <row r="18" spans="1:18" s="200" customFormat="1">
      <c r="A18" s="235">
        <v>12</v>
      </c>
      <c r="B18" s="196" t="s">
        <v>49</v>
      </c>
      <c r="C18" s="199" t="s">
        <v>50</v>
      </c>
      <c r="D18" s="199" t="s">
        <v>37</v>
      </c>
      <c r="E18" s="198" t="s">
        <v>168</v>
      </c>
      <c r="F18" s="198">
        <v>25000</v>
      </c>
      <c r="G18" s="199"/>
      <c r="H18" s="199"/>
      <c r="I18" s="199"/>
      <c r="J18" s="107"/>
      <c r="K18" s="107"/>
      <c r="L18" s="109"/>
      <c r="M18" s="103"/>
      <c r="N18" s="198">
        <v>375</v>
      </c>
      <c r="O18" s="248"/>
      <c r="P18" s="198">
        <f t="shared" si="0"/>
        <v>24625</v>
      </c>
      <c r="Q18" s="236">
        <v>375</v>
      </c>
      <c r="R18" s="238"/>
    </row>
    <row r="19" spans="1:18" s="200" customFormat="1">
      <c r="A19" s="235">
        <v>13</v>
      </c>
      <c r="B19" s="196" t="s">
        <v>51</v>
      </c>
      <c r="C19" s="199" t="s">
        <v>52</v>
      </c>
      <c r="D19" s="199" t="s">
        <v>44</v>
      </c>
      <c r="E19" s="198" t="s">
        <v>168</v>
      </c>
      <c r="F19" s="198">
        <v>22700</v>
      </c>
      <c r="G19" s="199"/>
      <c r="H19" s="199"/>
      <c r="I19" s="199"/>
      <c r="J19" s="107"/>
      <c r="K19" s="107"/>
      <c r="L19" s="109"/>
      <c r="M19" s="103"/>
      <c r="N19" s="198">
        <v>375</v>
      </c>
      <c r="O19" s="248"/>
      <c r="P19" s="198">
        <f t="shared" si="0"/>
        <v>22325</v>
      </c>
      <c r="Q19" s="236">
        <v>375</v>
      </c>
      <c r="R19" s="238"/>
    </row>
    <row r="20" spans="1:18" s="194" customFormat="1">
      <c r="A20" s="255">
        <v>14</v>
      </c>
      <c r="B20" s="192" t="s">
        <v>53</v>
      </c>
      <c r="C20" s="191" t="s">
        <v>54</v>
      </c>
      <c r="D20" s="191" t="s">
        <v>55</v>
      </c>
      <c r="E20" s="193" t="s">
        <v>169</v>
      </c>
      <c r="F20" s="193">
        <v>23500</v>
      </c>
      <c r="G20" s="191"/>
      <c r="H20" s="191"/>
      <c r="I20" s="191"/>
      <c r="J20" s="107"/>
      <c r="K20" s="107"/>
      <c r="L20" s="109"/>
      <c r="M20" s="103"/>
      <c r="N20" s="193">
        <v>375</v>
      </c>
      <c r="O20" s="261"/>
      <c r="P20" s="193">
        <f t="shared" si="0"/>
        <v>23125</v>
      </c>
      <c r="Q20" s="256">
        <v>375</v>
      </c>
      <c r="R20" s="257"/>
    </row>
    <row r="21" spans="1:18" s="194" customFormat="1">
      <c r="A21" s="255">
        <v>15</v>
      </c>
      <c r="B21" s="192" t="s">
        <v>56</v>
      </c>
      <c r="C21" s="191" t="s">
        <v>57</v>
      </c>
      <c r="D21" s="191" t="s">
        <v>58</v>
      </c>
      <c r="E21" s="193" t="s">
        <v>169</v>
      </c>
      <c r="F21" s="193">
        <v>25000</v>
      </c>
      <c r="G21" s="191"/>
      <c r="H21" s="191"/>
      <c r="I21" s="191"/>
      <c r="J21" s="107"/>
      <c r="K21" s="107"/>
      <c r="L21" s="109"/>
      <c r="M21" s="103"/>
      <c r="N21" s="193">
        <v>375</v>
      </c>
      <c r="O21" s="261"/>
      <c r="P21" s="193">
        <f t="shared" si="0"/>
        <v>24625</v>
      </c>
      <c r="Q21" s="256">
        <v>375</v>
      </c>
      <c r="R21" s="257"/>
    </row>
    <row r="22" spans="1:18" s="200" customFormat="1">
      <c r="A22" s="235">
        <v>16</v>
      </c>
      <c r="B22" s="196" t="s">
        <v>60</v>
      </c>
      <c r="C22" s="199" t="s">
        <v>61</v>
      </c>
      <c r="D22" s="199" t="s">
        <v>44</v>
      </c>
      <c r="E22" s="198" t="s">
        <v>168</v>
      </c>
      <c r="F22" s="198">
        <v>25000</v>
      </c>
      <c r="G22" s="199"/>
      <c r="H22" s="199"/>
      <c r="I22" s="199"/>
      <c r="J22" s="107"/>
      <c r="K22" s="107"/>
      <c r="L22" s="109"/>
      <c r="M22" s="103"/>
      <c r="N22" s="198">
        <v>375</v>
      </c>
      <c r="O22" s="248"/>
      <c r="P22" s="198">
        <f t="shared" si="0"/>
        <v>24625</v>
      </c>
      <c r="Q22" s="236">
        <v>375</v>
      </c>
      <c r="R22" s="238"/>
    </row>
    <row r="23" spans="1:18" s="200" customFormat="1">
      <c r="A23" s="235">
        <v>17</v>
      </c>
      <c r="B23" s="196" t="s">
        <v>62</v>
      </c>
      <c r="C23" s="199" t="s">
        <v>63</v>
      </c>
      <c r="D23" s="199" t="s">
        <v>44</v>
      </c>
      <c r="E23" s="198" t="s">
        <v>168</v>
      </c>
      <c r="F23" s="198">
        <v>25000</v>
      </c>
      <c r="G23" s="199"/>
      <c r="H23" s="199"/>
      <c r="I23" s="199"/>
      <c r="J23" s="107"/>
      <c r="K23" s="107"/>
      <c r="L23" s="109"/>
      <c r="M23" s="103"/>
      <c r="N23" s="198">
        <v>375</v>
      </c>
      <c r="O23" s="248"/>
      <c r="P23" s="198">
        <f t="shared" si="0"/>
        <v>24625</v>
      </c>
      <c r="Q23" s="236">
        <v>375</v>
      </c>
      <c r="R23" s="238"/>
    </row>
    <row r="24" spans="1:18" s="200" customFormat="1">
      <c r="A24" s="235">
        <v>18</v>
      </c>
      <c r="B24" s="196" t="s">
        <v>64</v>
      </c>
      <c r="C24" s="199" t="s">
        <v>65</v>
      </c>
      <c r="D24" s="199" t="s">
        <v>44</v>
      </c>
      <c r="E24" s="198" t="s">
        <v>168</v>
      </c>
      <c r="F24" s="198">
        <v>25000</v>
      </c>
      <c r="G24" s="199"/>
      <c r="H24" s="199"/>
      <c r="I24" s="199"/>
      <c r="J24" s="107"/>
      <c r="K24" s="107"/>
      <c r="L24" s="109"/>
      <c r="M24" s="103"/>
      <c r="N24" s="198">
        <v>375</v>
      </c>
      <c r="O24" s="248"/>
      <c r="P24" s="198">
        <f t="shared" si="0"/>
        <v>24625</v>
      </c>
      <c r="Q24" s="236">
        <v>375</v>
      </c>
      <c r="R24" s="238"/>
    </row>
    <row r="25" spans="1:18" s="200" customFormat="1">
      <c r="A25" s="235">
        <v>19</v>
      </c>
      <c r="B25" s="196" t="s">
        <v>66</v>
      </c>
      <c r="C25" s="199" t="s">
        <v>67</v>
      </c>
      <c r="D25" s="199" t="s">
        <v>44</v>
      </c>
      <c r="E25" s="198" t="s">
        <v>168</v>
      </c>
      <c r="F25" s="198">
        <v>25000</v>
      </c>
      <c r="G25" s="199"/>
      <c r="H25" s="199"/>
      <c r="I25" s="199"/>
      <c r="J25" s="107"/>
      <c r="K25" s="107"/>
      <c r="L25" s="109"/>
      <c r="M25" s="103"/>
      <c r="N25" s="198">
        <v>375</v>
      </c>
      <c r="O25" s="248"/>
      <c r="P25" s="198">
        <f t="shared" si="0"/>
        <v>24625</v>
      </c>
      <c r="Q25" s="236">
        <v>375</v>
      </c>
      <c r="R25" s="238"/>
    </row>
    <row r="26" spans="1:18" s="200" customFormat="1">
      <c r="A26" s="235">
        <v>20</v>
      </c>
      <c r="B26" s="196" t="s">
        <v>68</v>
      </c>
      <c r="C26" s="199" t="s">
        <v>69</v>
      </c>
      <c r="D26" s="199" t="s">
        <v>44</v>
      </c>
      <c r="E26" s="198" t="s">
        <v>168</v>
      </c>
      <c r="F26" s="198">
        <v>25000</v>
      </c>
      <c r="G26" s="199"/>
      <c r="H26" s="199"/>
      <c r="I26" s="199"/>
      <c r="J26" s="107"/>
      <c r="K26" s="107"/>
      <c r="L26" s="109"/>
      <c r="M26" s="103"/>
      <c r="N26" s="198">
        <v>375</v>
      </c>
      <c r="O26" s="248"/>
      <c r="P26" s="198">
        <f t="shared" si="0"/>
        <v>24625</v>
      </c>
      <c r="Q26" s="236">
        <v>375</v>
      </c>
      <c r="R26" s="238"/>
    </row>
    <row r="27" spans="1:18" s="200" customFormat="1">
      <c r="A27" s="235">
        <v>21</v>
      </c>
      <c r="B27" s="196" t="s">
        <v>70</v>
      </c>
      <c r="C27" s="199" t="s">
        <v>71</v>
      </c>
      <c r="D27" s="199" t="s">
        <v>72</v>
      </c>
      <c r="E27" s="198" t="s">
        <v>168</v>
      </c>
      <c r="F27" s="198">
        <f>+H27*I27</f>
        <v>9000</v>
      </c>
      <c r="G27" s="199"/>
      <c r="H27" s="199">
        <v>400</v>
      </c>
      <c r="I27" s="199">
        <v>22.5</v>
      </c>
      <c r="J27" s="123"/>
      <c r="K27" s="123"/>
      <c r="L27" s="126"/>
      <c r="M27" s="124"/>
      <c r="N27" s="198">
        <f>ROUND(F27*2.5%,0)</f>
        <v>225</v>
      </c>
      <c r="O27" s="248"/>
      <c r="P27" s="198">
        <f t="shared" si="0"/>
        <v>8775</v>
      </c>
      <c r="Q27" s="236">
        <f>ROUND(F27*2.5%,0)</f>
        <v>225</v>
      </c>
      <c r="R27" s="198"/>
    </row>
    <row r="28" spans="1:18" s="200" customFormat="1">
      <c r="A28" s="235">
        <v>22</v>
      </c>
      <c r="B28" s="196" t="s">
        <v>73</v>
      </c>
      <c r="C28" s="199" t="s">
        <v>74</v>
      </c>
      <c r="D28" s="199" t="s">
        <v>72</v>
      </c>
      <c r="E28" s="198" t="s">
        <v>168</v>
      </c>
      <c r="F28" s="198">
        <f>+H28*I28</f>
        <v>8640</v>
      </c>
      <c r="G28" s="199"/>
      <c r="H28" s="199">
        <v>360</v>
      </c>
      <c r="I28" s="199">
        <v>24</v>
      </c>
      <c r="J28" s="123"/>
      <c r="K28" s="123"/>
      <c r="L28" s="126"/>
      <c r="M28" s="124"/>
      <c r="N28" s="198">
        <f>ROUND(F28*2.5%,0)</f>
        <v>216</v>
      </c>
      <c r="O28" s="248"/>
      <c r="P28" s="198">
        <f t="shared" si="0"/>
        <v>8424</v>
      </c>
      <c r="Q28" s="236">
        <f>ROUND(F28*2.5%,0)</f>
        <v>216</v>
      </c>
      <c r="R28" s="198"/>
    </row>
    <row r="29" spans="1:18" s="200" customFormat="1">
      <c r="A29" s="235">
        <v>23</v>
      </c>
      <c r="B29" s="196" t="s">
        <v>75</v>
      </c>
      <c r="C29" s="199" t="s">
        <v>76</v>
      </c>
      <c r="D29" s="199" t="s">
        <v>44</v>
      </c>
      <c r="E29" s="198" t="s">
        <v>168</v>
      </c>
      <c r="F29" s="198">
        <v>25000</v>
      </c>
      <c r="G29" s="199"/>
      <c r="H29" s="199"/>
      <c r="I29" s="199"/>
      <c r="J29" s="107"/>
      <c r="K29" s="107"/>
      <c r="L29" s="109"/>
      <c r="M29" s="103"/>
      <c r="N29" s="198">
        <v>375</v>
      </c>
      <c r="O29" s="248"/>
      <c r="P29" s="198">
        <f t="shared" si="0"/>
        <v>24625</v>
      </c>
      <c r="Q29" s="248">
        <v>375</v>
      </c>
      <c r="R29" s="238"/>
    </row>
    <row r="30" spans="1:18" s="194" customFormat="1">
      <c r="A30" s="255">
        <v>24</v>
      </c>
      <c r="B30" s="192" t="s">
        <v>77</v>
      </c>
      <c r="C30" s="191" t="s">
        <v>78</v>
      </c>
      <c r="D30" s="191" t="s">
        <v>79</v>
      </c>
      <c r="E30" s="193" t="s">
        <v>169</v>
      </c>
      <c r="F30" s="193">
        <v>15500</v>
      </c>
      <c r="G30" s="258" t="s">
        <v>80</v>
      </c>
      <c r="H30" s="191"/>
      <c r="I30" s="191"/>
      <c r="J30" s="107"/>
      <c r="K30" s="107"/>
      <c r="L30" s="109"/>
      <c r="M30" s="103"/>
      <c r="N30" s="193">
        <v>375</v>
      </c>
      <c r="O30" s="261"/>
      <c r="P30" s="193">
        <f t="shared" si="0"/>
        <v>15125</v>
      </c>
      <c r="Q30" s="256">
        <v>375</v>
      </c>
      <c r="R30" s="257"/>
    </row>
    <row r="31" spans="1:18" s="262" customFormat="1">
      <c r="A31" s="255">
        <v>25</v>
      </c>
      <c r="B31" s="259" t="s">
        <v>84</v>
      </c>
      <c r="C31" s="260" t="s">
        <v>85</v>
      </c>
      <c r="D31" s="260" t="s">
        <v>32</v>
      </c>
      <c r="E31" s="261" t="s">
        <v>169</v>
      </c>
      <c r="F31" s="261">
        <v>15500</v>
      </c>
      <c r="G31" s="258" t="s">
        <v>83</v>
      </c>
      <c r="H31" s="260"/>
      <c r="I31" s="260"/>
      <c r="J31" s="95"/>
      <c r="K31" s="95"/>
      <c r="L31" s="109"/>
      <c r="M31" s="103"/>
      <c r="N31" s="193">
        <v>375</v>
      </c>
      <c r="O31" s="261"/>
      <c r="P31" s="193">
        <f t="shared" si="0"/>
        <v>15125</v>
      </c>
      <c r="Q31" s="256">
        <v>375</v>
      </c>
      <c r="R31" s="257"/>
    </row>
    <row r="32" spans="1:18" s="200" customFormat="1">
      <c r="A32" s="235">
        <v>26</v>
      </c>
      <c r="B32" s="196" t="s">
        <v>86</v>
      </c>
      <c r="C32" s="199" t="s">
        <v>87</v>
      </c>
      <c r="D32" s="199" t="s">
        <v>44</v>
      </c>
      <c r="E32" s="198" t="s">
        <v>168</v>
      </c>
      <c r="F32" s="198">
        <v>25000</v>
      </c>
      <c r="G32" s="239" t="s">
        <v>88</v>
      </c>
      <c r="H32" s="199"/>
      <c r="I32" s="199"/>
      <c r="J32" s="107"/>
      <c r="K32" s="107"/>
      <c r="L32" s="109"/>
      <c r="M32" s="103"/>
      <c r="N32" s="198">
        <v>375</v>
      </c>
      <c r="O32" s="248"/>
      <c r="P32" s="198">
        <f t="shared" si="0"/>
        <v>24625</v>
      </c>
      <c r="Q32" s="236">
        <v>375</v>
      </c>
      <c r="R32" s="240"/>
    </row>
    <row r="33" spans="1:18" s="200" customFormat="1">
      <c r="A33" s="235">
        <v>27</v>
      </c>
      <c r="B33" s="196" t="s">
        <v>89</v>
      </c>
      <c r="C33" s="199" t="s">
        <v>90</v>
      </c>
      <c r="D33" s="199" t="s">
        <v>72</v>
      </c>
      <c r="E33" s="198" t="s">
        <v>168</v>
      </c>
      <c r="F33" s="198">
        <f>+H33*I33</f>
        <v>9120</v>
      </c>
      <c r="G33" s="239" t="s">
        <v>88</v>
      </c>
      <c r="H33" s="199">
        <v>380</v>
      </c>
      <c r="I33" s="199">
        <v>24</v>
      </c>
      <c r="J33" s="123"/>
      <c r="K33" s="123"/>
      <c r="L33" s="126"/>
      <c r="M33" s="124"/>
      <c r="N33" s="198">
        <f>ROUND(F33*2.5%,0)</f>
        <v>228</v>
      </c>
      <c r="O33" s="248"/>
      <c r="P33" s="198">
        <f t="shared" si="0"/>
        <v>8892</v>
      </c>
      <c r="Q33" s="236">
        <f>ROUND(F33*2.5%,0)</f>
        <v>228</v>
      </c>
      <c r="R33" s="240"/>
    </row>
    <row r="34" spans="1:18" s="194" customFormat="1">
      <c r="A34" s="255">
        <v>28</v>
      </c>
      <c r="B34" s="192" t="s">
        <v>91</v>
      </c>
      <c r="C34" s="191" t="s">
        <v>92</v>
      </c>
      <c r="D34" s="191" t="s">
        <v>32</v>
      </c>
      <c r="E34" s="193" t="s">
        <v>169</v>
      </c>
      <c r="F34" s="193">
        <v>16200</v>
      </c>
      <c r="G34" s="263" t="s">
        <v>93</v>
      </c>
      <c r="H34" s="191"/>
      <c r="I34" s="191"/>
      <c r="J34" s="107"/>
      <c r="K34" s="107"/>
      <c r="L34" s="109"/>
      <c r="M34" s="103"/>
      <c r="N34" s="193">
        <v>375</v>
      </c>
      <c r="O34" s="261"/>
      <c r="P34" s="193">
        <f t="shared" si="0"/>
        <v>15825</v>
      </c>
      <c r="Q34" s="256">
        <v>375</v>
      </c>
      <c r="R34" s="257"/>
    </row>
    <row r="35" spans="1:18" s="200" customFormat="1">
      <c r="A35" s="235">
        <v>29</v>
      </c>
      <c r="B35" s="196" t="s">
        <v>94</v>
      </c>
      <c r="C35" s="201">
        <v>6016200526744</v>
      </c>
      <c r="D35" s="199" t="s">
        <v>95</v>
      </c>
      <c r="E35" s="198" t="s">
        <v>168</v>
      </c>
      <c r="F35" s="198">
        <f>H35*I35</f>
        <v>7590</v>
      </c>
      <c r="G35" s="239" t="s">
        <v>96</v>
      </c>
      <c r="H35" s="199">
        <v>330</v>
      </c>
      <c r="I35" s="199">
        <v>23</v>
      </c>
      <c r="J35" s="123"/>
      <c r="K35" s="123"/>
      <c r="L35" s="126"/>
      <c r="M35" s="124"/>
      <c r="N35" s="198">
        <f t="shared" ref="N35:N42" si="1">ROUND(F35*2.5%,0)</f>
        <v>190</v>
      </c>
      <c r="O35" s="248"/>
      <c r="P35" s="198">
        <f t="shared" si="0"/>
        <v>7400</v>
      </c>
      <c r="Q35" s="236">
        <f t="shared" ref="Q35:Q42" si="2">ROUND(F35*2.5%,0)</f>
        <v>190</v>
      </c>
      <c r="R35" s="240"/>
    </row>
    <row r="36" spans="1:18" s="200" customFormat="1">
      <c r="A36" s="235">
        <v>30</v>
      </c>
      <c r="B36" s="196" t="s">
        <v>97</v>
      </c>
      <c r="C36" s="201">
        <v>6016200526680</v>
      </c>
      <c r="D36" s="199" t="s">
        <v>95</v>
      </c>
      <c r="E36" s="198" t="s">
        <v>168</v>
      </c>
      <c r="F36" s="198">
        <f t="shared" ref="F36:F42" si="3">H36*I36</f>
        <v>7590</v>
      </c>
      <c r="G36" s="239" t="s">
        <v>96</v>
      </c>
      <c r="H36" s="199">
        <v>330</v>
      </c>
      <c r="I36" s="199">
        <v>23</v>
      </c>
      <c r="J36" s="123"/>
      <c r="K36" s="123"/>
      <c r="L36" s="126"/>
      <c r="M36" s="124"/>
      <c r="N36" s="198">
        <f t="shared" si="1"/>
        <v>190</v>
      </c>
      <c r="O36" s="248"/>
      <c r="P36" s="198">
        <f t="shared" si="0"/>
        <v>7400</v>
      </c>
      <c r="Q36" s="236">
        <f t="shared" si="2"/>
        <v>190</v>
      </c>
      <c r="R36" s="240"/>
    </row>
    <row r="37" spans="1:18" s="200" customFormat="1">
      <c r="A37" s="235">
        <v>31</v>
      </c>
      <c r="B37" s="196" t="s">
        <v>98</v>
      </c>
      <c r="C37" s="201">
        <v>6016200526639</v>
      </c>
      <c r="D37" s="199" t="s">
        <v>95</v>
      </c>
      <c r="E37" s="198" t="s">
        <v>168</v>
      </c>
      <c r="F37" s="198">
        <f t="shared" si="3"/>
        <v>7590</v>
      </c>
      <c r="G37" s="239" t="s">
        <v>96</v>
      </c>
      <c r="H37" s="199">
        <v>330</v>
      </c>
      <c r="I37" s="199">
        <v>23</v>
      </c>
      <c r="J37" s="123"/>
      <c r="K37" s="123"/>
      <c r="L37" s="126"/>
      <c r="M37" s="124"/>
      <c r="N37" s="198">
        <f t="shared" si="1"/>
        <v>190</v>
      </c>
      <c r="O37" s="248"/>
      <c r="P37" s="198">
        <f t="shared" si="0"/>
        <v>7400</v>
      </c>
      <c r="Q37" s="236">
        <f t="shared" si="2"/>
        <v>190</v>
      </c>
      <c r="R37" s="198"/>
    </row>
    <row r="38" spans="1:18" s="200" customFormat="1">
      <c r="A38" s="235">
        <v>32</v>
      </c>
      <c r="B38" s="196" t="s">
        <v>99</v>
      </c>
      <c r="C38" s="201">
        <v>6016200526591</v>
      </c>
      <c r="D38" s="199" t="s">
        <v>95</v>
      </c>
      <c r="E38" s="198" t="s">
        <v>168</v>
      </c>
      <c r="F38" s="198">
        <f t="shared" si="3"/>
        <v>7920</v>
      </c>
      <c r="G38" s="239" t="s">
        <v>96</v>
      </c>
      <c r="H38" s="199">
        <v>330</v>
      </c>
      <c r="I38" s="199">
        <v>24</v>
      </c>
      <c r="J38" s="123"/>
      <c r="K38" s="123"/>
      <c r="L38" s="126"/>
      <c r="M38" s="124"/>
      <c r="N38" s="198">
        <f t="shared" si="1"/>
        <v>198</v>
      </c>
      <c r="O38" s="248"/>
      <c r="P38" s="198">
        <f t="shared" si="0"/>
        <v>7722</v>
      </c>
      <c r="Q38" s="236">
        <f t="shared" si="2"/>
        <v>198</v>
      </c>
      <c r="R38" s="198"/>
    </row>
    <row r="39" spans="1:18" s="246" customFormat="1">
      <c r="A39" s="235">
        <v>33</v>
      </c>
      <c r="B39" s="241" t="s">
        <v>108</v>
      </c>
      <c r="C39" s="242" t="s">
        <v>109</v>
      </c>
      <c r="D39" s="242" t="s">
        <v>72</v>
      </c>
      <c r="E39" s="198" t="s">
        <v>168</v>
      </c>
      <c r="F39" s="198">
        <f t="shared" si="3"/>
        <v>9600</v>
      </c>
      <c r="G39" s="243" t="s">
        <v>107</v>
      </c>
      <c r="H39" s="242">
        <v>400</v>
      </c>
      <c r="I39" s="242">
        <v>24</v>
      </c>
      <c r="J39" s="132"/>
      <c r="K39" s="132"/>
      <c r="L39" s="134"/>
      <c r="M39" s="135"/>
      <c r="N39" s="198">
        <f t="shared" si="1"/>
        <v>240</v>
      </c>
      <c r="O39" s="248"/>
      <c r="P39" s="198">
        <f t="shared" si="0"/>
        <v>9360</v>
      </c>
      <c r="Q39" s="236">
        <f t="shared" si="2"/>
        <v>240</v>
      </c>
      <c r="R39" s="198"/>
    </row>
    <row r="40" spans="1:18" s="246" customFormat="1">
      <c r="A40" s="235">
        <v>34</v>
      </c>
      <c r="B40" s="241" t="s">
        <v>110</v>
      </c>
      <c r="C40" s="244">
        <v>6016300837717</v>
      </c>
      <c r="D40" s="242" t="s">
        <v>95</v>
      </c>
      <c r="E40" s="198" t="s">
        <v>168</v>
      </c>
      <c r="F40" s="198">
        <f t="shared" si="3"/>
        <v>7590</v>
      </c>
      <c r="G40" s="243" t="s">
        <v>111</v>
      </c>
      <c r="H40" s="242">
        <v>330</v>
      </c>
      <c r="I40" s="242">
        <v>23</v>
      </c>
      <c r="J40" s="132"/>
      <c r="K40" s="132"/>
      <c r="L40" s="134"/>
      <c r="M40" s="135"/>
      <c r="N40" s="198">
        <f t="shared" si="1"/>
        <v>190</v>
      </c>
      <c r="O40" s="248"/>
      <c r="P40" s="198">
        <f t="shared" si="0"/>
        <v>7400</v>
      </c>
      <c r="Q40" s="236">
        <f t="shared" si="2"/>
        <v>190</v>
      </c>
      <c r="R40" s="198"/>
    </row>
    <row r="41" spans="1:18" s="246" customFormat="1">
      <c r="A41" s="235">
        <v>35</v>
      </c>
      <c r="B41" s="241" t="s">
        <v>112</v>
      </c>
      <c r="C41" s="244">
        <v>6016300837709</v>
      </c>
      <c r="D41" s="242" t="s">
        <v>95</v>
      </c>
      <c r="E41" s="198" t="s">
        <v>168</v>
      </c>
      <c r="F41" s="198">
        <f t="shared" si="3"/>
        <v>7590</v>
      </c>
      <c r="G41" s="243" t="s">
        <v>111</v>
      </c>
      <c r="H41" s="242">
        <v>330</v>
      </c>
      <c r="I41" s="242">
        <v>23</v>
      </c>
      <c r="J41" s="132"/>
      <c r="K41" s="132"/>
      <c r="L41" s="134"/>
      <c r="M41" s="135"/>
      <c r="N41" s="198">
        <f t="shared" si="1"/>
        <v>190</v>
      </c>
      <c r="O41" s="248"/>
      <c r="P41" s="198">
        <f t="shared" si="0"/>
        <v>7400</v>
      </c>
      <c r="Q41" s="236">
        <f t="shared" si="2"/>
        <v>190</v>
      </c>
      <c r="R41" s="198"/>
    </row>
    <row r="42" spans="1:18" s="246" customFormat="1">
      <c r="A42" s="235">
        <v>36</v>
      </c>
      <c r="B42" s="241" t="s">
        <v>113</v>
      </c>
      <c r="C42" s="244">
        <v>6016300837750</v>
      </c>
      <c r="D42" s="242" t="s">
        <v>95</v>
      </c>
      <c r="E42" s="198" t="s">
        <v>168</v>
      </c>
      <c r="F42" s="198">
        <f t="shared" si="3"/>
        <v>7920</v>
      </c>
      <c r="G42" s="243" t="s">
        <v>111</v>
      </c>
      <c r="H42" s="242">
        <v>330</v>
      </c>
      <c r="I42" s="242">
        <v>24</v>
      </c>
      <c r="J42" s="132"/>
      <c r="K42" s="132"/>
      <c r="L42" s="134"/>
      <c r="M42" s="135"/>
      <c r="N42" s="198">
        <f t="shared" si="1"/>
        <v>198</v>
      </c>
      <c r="O42" s="248"/>
      <c r="P42" s="198">
        <f t="shared" si="0"/>
        <v>7722</v>
      </c>
      <c r="Q42" s="236">
        <f t="shared" si="2"/>
        <v>198</v>
      </c>
      <c r="R42" s="242"/>
    </row>
    <row r="43" spans="1:18" s="200" customFormat="1">
      <c r="A43" s="235">
        <v>37</v>
      </c>
      <c r="B43" s="196" t="s">
        <v>100</v>
      </c>
      <c r="C43" s="201">
        <v>1101500149087</v>
      </c>
      <c r="D43" s="199" t="s">
        <v>44</v>
      </c>
      <c r="E43" s="198" t="s">
        <v>168</v>
      </c>
      <c r="F43" s="198">
        <v>25000</v>
      </c>
      <c r="G43" s="245" t="s">
        <v>101</v>
      </c>
      <c r="H43" s="199"/>
      <c r="I43" s="199"/>
      <c r="J43" s="107"/>
      <c r="K43" s="107"/>
      <c r="L43" s="109"/>
      <c r="M43" s="103"/>
      <c r="N43" s="198">
        <v>375</v>
      </c>
      <c r="O43" s="248"/>
      <c r="P43" s="198">
        <f t="shared" si="0"/>
        <v>24625</v>
      </c>
      <c r="Q43" s="236">
        <v>375</v>
      </c>
      <c r="R43" s="238"/>
    </row>
    <row r="44" spans="1:18" s="200" customFormat="1">
      <c r="A44" s="235">
        <v>38</v>
      </c>
      <c r="B44" s="196" t="s">
        <v>102</v>
      </c>
      <c r="C44" s="201">
        <v>220062001228</v>
      </c>
      <c r="D44" s="199" t="s">
        <v>95</v>
      </c>
      <c r="E44" s="198" t="s">
        <v>168</v>
      </c>
      <c r="F44" s="198">
        <f>+H44*I44</f>
        <v>7920</v>
      </c>
      <c r="G44" s="245" t="s">
        <v>106</v>
      </c>
      <c r="H44" s="199">
        <v>330</v>
      </c>
      <c r="I44" s="199">
        <v>24</v>
      </c>
      <c r="J44" s="123"/>
      <c r="K44" s="123"/>
      <c r="L44" s="126"/>
      <c r="M44" s="124"/>
      <c r="N44" s="198">
        <f t="shared" ref="N44:N50" si="4">ROUND(F44*2.5%,0)</f>
        <v>198</v>
      </c>
      <c r="O44" s="248"/>
      <c r="P44" s="198">
        <f t="shared" si="0"/>
        <v>7722</v>
      </c>
      <c r="Q44" s="236">
        <f t="shared" ref="Q44:Q50" si="5">ROUND(F44*2.5%,0)</f>
        <v>198</v>
      </c>
      <c r="R44" s="238"/>
    </row>
    <row r="45" spans="1:18" s="266" customFormat="1">
      <c r="A45" s="255">
        <v>39</v>
      </c>
      <c r="B45" s="259" t="s">
        <v>114</v>
      </c>
      <c r="C45" s="264">
        <v>1419900221235</v>
      </c>
      <c r="D45" s="260" t="s">
        <v>32</v>
      </c>
      <c r="E45" s="261" t="s">
        <v>169</v>
      </c>
      <c r="F45" s="261">
        <v>12000</v>
      </c>
      <c r="G45" s="265" t="s">
        <v>115</v>
      </c>
      <c r="H45" s="257"/>
      <c r="I45" s="257"/>
      <c r="J45" s="100"/>
      <c r="K45" s="100"/>
      <c r="L45" s="101"/>
      <c r="M45" s="102"/>
      <c r="N45" s="193">
        <f t="shared" si="4"/>
        <v>300</v>
      </c>
      <c r="O45" s="261"/>
      <c r="P45" s="193">
        <f t="shared" si="0"/>
        <v>11700</v>
      </c>
      <c r="Q45" s="256">
        <f t="shared" si="5"/>
        <v>300</v>
      </c>
      <c r="R45" s="257"/>
    </row>
    <row r="46" spans="1:18" s="246" customFormat="1">
      <c r="A46" s="235">
        <v>40</v>
      </c>
      <c r="B46" s="247" t="s">
        <v>118</v>
      </c>
      <c r="C46" s="244">
        <v>1229900643638</v>
      </c>
      <c r="D46" s="242" t="s">
        <v>44</v>
      </c>
      <c r="E46" s="248" t="s">
        <v>168</v>
      </c>
      <c r="F46" s="248">
        <v>15000</v>
      </c>
      <c r="G46" s="243" t="s">
        <v>119</v>
      </c>
      <c r="H46" s="242"/>
      <c r="I46" s="242"/>
      <c r="J46" s="95"/>
      <c r="K46" s="95"/>
      <c r="L46" s="115"/>
      <c r="M46" s="98"/>
      <c r="N46" s="198">
        <f t="shared" si="4"/>
        <v>375</v>
      </c>
      <c r="O46" s="248"/>
      <c r="P46" s="198">
        <f t="shared" si="0"/>
        <v>14625</v>
      </c>
      <c r="Q46" s="236">
        <f t="shared" si="5"/>
        <v>375</v>
      </c>
      <c r="R46" s="242"/>
    </row>
    <row r="47" spans="1:18" s="246" customFormat="1">
      <c r="A47" s="235">
        <v>41</v>
      </c>
      <c r="B47" s="247" t="s">
        <v>120</v>
      </c>
      <c r="C47" s="244">
        <v>3402000037896</v>
      </c>
      <c r="D47" s="242" t="s">
        <v>44</v>
      </c>
      <c r="E47" s="248" t="s">
        <v>168</v>
      </c>
      <c r="F47" s="248">
        <v>15000</v>
      </c>
      <c r="G47" s="243" t="s">
        <v>119</v>
      </c>
      <c r="H47" s="242"/>
      <c r="I47" s="242"/>
      <c r="J47" s="95"/>
      <c r="K47" s="95"/>
      <c r="L47" s="115"/>
      <c r="M47" s="98"/>
      <c r="N47" s="198">
        <f t="shared" si="4"/>
        <v>375</v>
      </c>
      <c r="O47" s="248"/>
      <c r="P47" s="198">
        <f t="shared" si="0"/>
        <v>14625</v>
      </c>
      <c r="Q47" s="236">
        <f t="shared" si="5"/>
        <v>375</v>
      </c>
      <c r="R47" s="242"/>
    </row>
    <row r="48" spans="1:18" s="246" customFormat="1">
      <c r="A48" s="235">
        <v>42</v>
      </c>
      <c r="B48" s="247" t="s">
        <v>121</v>
      </c>
      <c r="C48" s="244">
        <v>3341600658671</v>
      </c>
      <c r="D48" s="242" t="s">
        <v>44</v>
      </c>
      <c r="E48" s="248" t="s">
        <v>168</v>
      </c>
      <c r="F48" s="248">
        <v>15000</v>
      </c>
      <c r="G48" s="243" t="s">
        <v>119</v>
      </c>
      <c r="H48" s="242"/>
      <c r="I48" s="242"/>
      <c r="J48" s="95"/>
      <c r="K48" s="95"/>
      <c r="L48" s="115"/>
      <c r="M48" s="98"/>
      <c r="N48" s="198">
        <f t="shared" si="4"/>
        <v>375</v>
      </c>
      <c r="O48" s="248"/>
      <c r="P48" s="198">
        <f t="shared" si="0"/>
        <v>14625</v>
      </c>
      <c r="Q48" s="236">
        <f t="shared" si="5"/>
        <v>375</v>
      </c>
      <c r="R48" s="242"/>
    </row>
    <row r="49" spans="1:18" s="262" customFormat="1">
      <c r="A49" s="255">
        <v>43</v>
      </c>
      <c r="B49" s="259" t="s">
        <v>122</v>
      </c>
      <c r="C49" s="264">
        <v>3930100204585</v>
      </c>
      <c r="D49" s="260" t="s">
        <v>19</v>
      </c>
      <c r="E49" s="261" t="s">
        <v>169</v>
      </c>
      <c r="F49" s="261">
        <v>15000</v>
      </c>
      <c r="G49" s="265" t="s">
        <v>119</v>
      </c>
      <c r="H49" s="260"/>
      <c r="I49" s="260"/>
      <c r="J49" s="95"/>
      <c r="K49" s="95"/>
      <c r="L49" s="115"/>
      <c r="M49" s="98"/>
      <c r="N49" s="193">
        <f t="shared" si="4"/>
        <v>375</v>
      </c>
      <c r="O49" s="261"/>
      <c r="P49" s="193">
        <f t="shared" si="0"/>
        <v>14625</v>
      </c>
      <c r="Q49" s="256">
        <f t="shared" si="5"/>
        <v>375</v>
      </c>
      <c r="R49" s="260"/>
    </row>
    <row r="50" spans="1:18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 t="s">
        <v>168</v>
      </c>
      <c r="F50" s="128">
        <f>H50*I50</f>
        <v>8400</v>
      </c>
      <c r="G50" s="144" t="s">
        <v>139</v>
      </c>
      <c r="H50" s="143">
        <v>350</v>
      </c>
      <c r="I50" s="143">
        <v>24</v>
      </c>
      <c r="J50" s="143"/>
      <c r="K50" s="143"/>
      <c r="L50" s="145"/>
      <c r="M50" s="128"/>
      <c r="N50" s="124">
        <f t="shared" si="4"/>
        <v>210</v>
      </c>
      <c r="O50" s="128"/>
      <c r="P50" s="124">
        <f t="shared" si="0"/>
        <v>8190</v>
      </c>
      <c r="Q50" s="128">
        <f t="shared" si="5"/>
        <v>210</v>
      </c>
      <c r="R50" s="146"/>
    </row>
    <row r="51" spans="1:18" s="266" customFormat="1">
      <c r="A51" s="255">
        <v>45</v>
      </c>
      <c r="B51" s="296" t="s">
        <v>163</v>
      </c>
      <c r="C51" s="297">
        <v>6016100144033</v>
      </c>
      <c r="D51" s="298" t="s">
        <v>32</v>
      </c>
      <c r="E51" s="256" t="s">
        <v>169</v>
      </c>
      <c r="F51" s="256">
        <v>20000</v>
      </c>
      <c r="G51" s="265" t="s">
        <v>164</v>
      </c>
      <c r="H51" s="260"/>
      <c r="I51" s="260"/>
      <c r="J51" s="183"/>
      <c r="K51" s="183"/>
      <c r="L51" s="184"/>
      <c r="M51" s="185"/>
      <c r="N51" s="193">
        <v>375</v>
      </c>
      <c r="O51" s="256"/>
      <c r="P51" s="193">
        <f t="shared" si="0"/>
        <v>19625</v>
      </c>
      <c r="Q51" s="256">
        <v>375</v>
      </c>
      <c r="R51" s="299"/>
    </row>
    <row r="52" spans="1:18" s="86" customFormat="1" ht="22.5" thickBot="1">
      <c r="A52" s="402" t="s">
        <v>103</v>
      </c>
      <c r="B52" s="402"/>
      <c r="C52" s="402"/>
      <c r="D52" s="402"/>
      <c r="E52" s="268"/>
      <c r="F52" s="89">
        <f>SUM(F7:F51)</f>
        <v>743970</v>
      </c>
      <c r="G52" s="87"/>
      <c r="H52" s="87"/>
      <c r="I52" s="87"/>
      <c r="J52" s="87"/>
      <c r="K52" s="87"/>
      <c r="L52" s="87"/>
      <c r="M52" s="87"/>
      <c r="N52" s="89">
        <f>SUM(N7:N51)</f>
        <v>14501</v>
      </c>
      <c r="O52" s="89">
        <f t="shared" ref="O52:Q52" si="6">SUM(O7:O51)</f>
        <v>7677</v>
      </c>
      <c r="P52" s="89">
        <f t="shared" si="6"/>
        <v>721792</v>
      </c>
      <c r="Q52" s="89">
        <f t="shared" si="6"/>
        <v>14501</v>
      </c>
      <c r="R52" s="88"/>
    </row>
    <row r="53" spans="1:18" ht="23.25" thickTop="1" thickBot="1">
      <c r="A53" s="119"/>
      <c r="B53" s="3"/>
      <c r="C53" s="3"/>
      <c r="D53" s="3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24.75" thickBot="1">
      <c r="A54" s="119"/>
      <c r="B54" s="50" t="s">
        <v>12</v>
      </c>
      <c r="C54" s="3"/>
      <c r="D54" s="3"/>
      <c r="E54" s="3"/>
      <c r="F54" s="39"/>
      <c r="G54" s="156" t="s">
        <v>145</v>
      </c>
      <c r="H54" s="39"/>
      <c r="I54" s="39"/>
      <c r="J54" s="39"/>
      <c r="K54" s="39"/>
      <c r="L54" s="39"/>
      <c r="M54" s="282" t="s">
        <v>158</v>
      </c>
      <c r="N54" s="290"/>
      <c r="O54" s="291"/>
      <c r="P54" s="290"/>
      <c r="Q54" s="292"/>
      <c r="R54" s="5"/>
    </row>
    <row r="55" spans="1:18">
      <c r="A55" s="119"/>
      <c r="B55" s="52" t="s">
        <v>156</v>
      </c>
      <c r="C55" s="149">
        <v>0</v>
      </c>
      <c r="D55" s="54" t="s">
        <v>142</v>
      </c>
      <c r="E55" s="54"/>
      <c r="F55" s="55" t="s">
        <v>140</v>
      </c>
      <c r="G55" s="170" t="s">
        <v>141</v>
      </c>
      <c r="H55" s="170">
        <v>13</v>
      </c>
      <c r="I55" s="171" t="s">
        <v>142</v>
      </c>
      <c r="J55" s="148"/>
      <c r="K55" s="148"/>
      <c r="M55" s="283">
        <f>+F27+F28+F33+F35+F36+F37+F38+F39+F40+F41+F42+F44+F50</f>
        <v>106470</v>
      </c>
      <c r="N55" s="45"/>
      <c r="O55" s="293"/>
      <c r="P55" s="294"/>
      <c r="Q55" s="292"/>
      <c r="R55" s="5"/>
    </row>
    <row r="56" spans="1:18">
      <c r="A56" s="119"/>
      <c r="B56" s="56" t="s">
        <v>137</v>
      </c>
      <c r="C56" s="150">
        <v>1</v>
      </c>
      <c r="D56" s="6" t="s">
        <v>142</v>
      </c>
      <c r="E56" s="6"/>
      <c r="F56" s="190" t="s">
        <v>162</v>
      </c>
      <c r="G56" s="173" t="s">
        <v>144</v>
      </c>
      <c r="H56" s="173">
        <v>32</v>
      </c>
      <c r="I56" s="174" t="s">
        <v>142</v>
      </c>
      <c r="J56" s="148"/>
      <c r="K56" s="148"/>
      <c r="M56" s="283">
        <f>+F7+F8+F9+F10+F11+F12+F13+F14+F15+F16+F17+F18+F19+F20+F21+F22+F23+F24+F25+F26+F29+F30+F31+F32+F34+F43+F45+F46+F47+F48+F49</f>
        <v>617500</v>
      </c>
      <c r="N56" s="45"/>
      <c r="O56" s="293"/>
      <c r="P56" s="45"/>
      <c r="Q56" s="292"/>
      <c r="R56" s="5"/>
    </row>
    <row r="57" spans="1:18" ht="22.5" thickBot="1">
      <c r="A57" s="119"/>
      <c r="B57" s="419" t="s">
        <v>165</v>
      </c>
      <c r="C57" s="420"/>
      <c r="D57" s="187"/>
      <c r="E57" s="187"/>
      <c r="F57" s="188"/>
      <c r="G57" s="189" t="s">
        <v>147</v>
      </c>
      <c r="H57" s="69">
        <f>SUM(H55:H56)</f>
        <v>45</v>
      </c>
      <c r="I57" s="155" t="s">
        <v>142</v>
      </c>
      <c r="J57" s="154"/>
      <c r="K57" s="154"/>
      <c r="M57" s="284">
        <f>SUM(M55:M56)</f>
        <v>723970</v>
      </c>
      <c r="N57" s="289"/>
      <c r="O57" s="166"/>
      <c r="P57" s="289"/>
      <c r="Q57" s="292"/>
    </row>
    <row r="58" spans="1:18">
      <c r="O58" s="295"/>
      <c r="Q58" s="292"/>
    </row>
    <row r="59" spans="1:18" ht="43.5">
      <c r="B59" s="11" t="s">
        <v>167</v>
      </c>
      <c r="C59" s="11" t="s">
        <v>158</v>
      </c>
      <c r="D59" s="234" t="s">
        <v>180</v>
      </c>
      <c r="E59" s="234" t="s">
        <v>181</v>
      </c>
      <c r="F59" s="91" t="s">
        <v>150</v>
      </c>
      <c r="G59" s="234" t="s">
        <v>172</v>
      </c>
    </row>
    <row r="60" spans="1:18">
      <c r="B60" s="199" t="s">
        <v>178</v>
      </c>
      <c r="C60" s="197">
        <f>+F7+F12+F15+F16+F17+F18+F19+F22+F23+F24+F25+F26+F27+F28+F29+F32+F33+F35+F36+F37+F38+F39+F40+F41+F42+F43+F44+F46+F47+F48+F50</f>
        <v>495070</v>
      </c>
      <c r="D60" s="197">
        <f>+Q7+Q12+Q15+Q16+Q17+Q18+Q19+Q22+Q23+Q24+Q25+Q26+Q27+Q28+Q29+Q32+Q33+Q35+Q36+Q37+Q38+Q39+Q40+Q41+Q42+Q43+Q44+Q46+Q47+Q50+Q48</f>
        <v>9403</v>
      </c>
      <c r="E60" s="197">
        <f>+N7+N12+N15+N16+N17+N18+N19+N22+N23+N24+N26+N27+N28+N29+N32+N25+N33+N35+N36+N37+N38+N39+N40+N41+N42+N43+N44+N46+N47+N48+N50</f>
        <v>9403</v>
      </c>
      <c r="F60" s="197">
        <v>0</v>
      </c>
      <c r="G60" s="197">
        <f>+D60+E60</f>
        <v>18806</v>
      </c>
    </row>
    <row r="61" spans="1:18">
      <c r="B61" s="191" t="s">
        <v>179</v>
      </c>
      <c r="C61" s="204">
        <f>+F8+F9+F10+F11+F13+F14+F20+F21+F30+F31+F34+F45+F49+F51</f>
        <v>248900</v>
      </c>
      <c r="D61" s="204">
        <f>+Q8+Q9+Q10+Q11+Q13+Q14+Q20+Q21+Q30+Q31+Q34+Q45+Q49+Q51</f>
        <v>5098</v>
      </c>
      <c r="E61" s="204">
        <f>+N8+N9+N10+N11+N13+N14+N20+N21+N30+N31+N34+N45+N49+N51</f>
        <v>5098</v>
      </c>
      <c r="F61" s="204">
        <f>+O10+O13+O14</f>
        <v>7677</v>
      </c>
      <c r="G61" s="204">
        <f>+D61+E61</f>
        <v>10196</v>
      </c>
    </row>
    <row r="62" spans="1:18" ht="24">
      <c r="B62" s="195" t="s">
        <v>147</v>
      </c>
      <c r="C62" s="233">
        <f>SUM(C60:C61)</f>
        <v>743970</v>
      </c>
      <c r="D62" s="233">
        <f>SUM(D60:D61)</f>
        <v>14501</v>
      </c>
      <c r="E62" s="233">
        <f>SUM(E60:E61)</f>
        <v>14501</v>
      </c>
      <c r="F62" s="233">
        <f>SUM(F60:F61)</f>
        <v>7677</v>
      </c>
      <c r="G62" s="233">
        <f>SUM(G60:G61)</f>
        <v>29002</v>
      </c>
    </row>
  </sheetData>
  <autoFilter ref="A5:R52" xr:uid="{5AC55F88-83B7-4B33-9CA7-C144417A2834}">
    <filterColumn colId="7" showButton="0"/>
    <filterColumn colId="9" showButton="0"/>
    <filterColumn colId="11" showButton="0"/>
    <filterColumn colId="12" showButton="0"/>
    <filterColumn colId="13" showButton="0"/>
  </autoFilter>
  <mergeCells count="18">
    <mergeCell ref="Q5:Q6"/>
    <mergeCell ref="R5:R6"/>
    <mergeCell ref="A52:D52"/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B57:C57"/>
    <mergeCell ref="E5:E6"/>
    <mergeCell ref="J5:K5"/>
    <mergeCell ref="L5:O5"/>
    <mergeCell ref="P5:P6"/>
  </mergeCells>
  <printOptions horizontalCentered="1"/>
  <pageMargins left="0.15748031496062992" right="0.19685039370078741" top="0.48" bottom="0.11811023622047245" header="0.31496062992125984" footer="0.31496062992125984"/>
  <pageSetup paperSize="9" scale="59" orientation="landscape" horizontalDpi="4294967293" r:id="rId1"/>
  <rowBreaks count="1" manualBreakCount="1">
    <brk id="2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6115-9C97-4BB9-A5DD-DEFEBCF735DF}">
  <dimension ref="A1:Q57"/>
  <sheetViews>
    <sheetView view="pageBreakPreview" zoomScale="90" zoomScaleNormal="90" zoomScaleSheetLayoutView="90" workbookViewId="0">
      <pane xSplit="5" ySplit="6" topLeftCell="H7" activePane="bottomRight" state="frozen"/>
      <selection pane="topRight" activeCell="G1" sqref="G1"/>
      <selection pane="bottomLeft" activeCell="A7" sqref="A7"/>
      <selection pane="bottomRight" activeCell="N10" sqref="N10:N14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2.28515625" style="1" bestFit="1" customWidth="1"/>
    <col min="6" max="6" width="14.7109375" style="1" bestFit="1" customWidth="1"/>
    <col min="7" max="7" width="5" style="1" bestFit="1" customWidth="1"/>
    <col min="8" max="8" width="7.5703125" style="1" bestFit="1" customWidth="1"/>
    <col min="9" max="9" width="3.7109375" style="1" hidden="1" customWidth="1"/>
    <col min="10" max="10" width="7" style="1" hidden="1" customWidth="1"/>
    <col min="11" max="11" width="6.7109375" style="1" hidden="1" customWidth="1"/>
    <col min="12" max="12" width="10" style="1" hidden="1" customWidth="1"/>
    <col min="13" max="13" width="14.140625" style="1" bestFit="1" customWidth="1"/>
    <col min="14" max="14" width="11.85546875" style="168" bestFit="1" customWidth="1"/>
    <col min="15" max="15" width="14.42578125" style="1" bestFit="1" customWidth="1"/>
    <col min="16" max="16" width="12.42578125" style="76" bestFit="1" customWidth="1"/>
    <col min="17" max="17" width="26.85546875" style="1" bestFit="1" customWidth="1"/>
    <col min="18" max="16384" width="9" style="1"/>
  </cols>
  <sheetData>
    <row r="1" spans="1:17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>
      <c r="A3" s="381" t="s">
        <v>173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22.5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63"/>
      <c r="O4" s="9"/>
      <c r="Q4" s="9"/>
    </row>
    <row r="5" spans="1:17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21" t="s">
        <v>161</v>
      </c>
      <c r="Q5" s="376" t="s">
        <v>12</v>
      </c>
    </row>
    <row r="6" spans="1:17" ht="44.25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160</v>
      </c>
      <c r="N6" s="164" t="s">
        <v>150</v>
      </c>
      <c r="O6" s="396"/>
      <c r="P6" s="421"/>
      <c r="Q6" s="377"/>
    </row>
    <row r="7" spans="1:17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ROUND(E7*2.5%,0)</f>
        <v>365</v>
      </c>
      <c r="N7" s="98"/>
      <c r="O7" s="103">
        <f>SUM(E7-M7-N7)</f>
        <v>14235</v>
      </c>
      <c r="P7" s="116">
        <f>ROUND(E7*2.5%,0)</f>
        <v>365</v>
      </c>
      <c r="Q7" s="152"/>
    </row>
    <row r="8" spans="1:17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 t="shared" ref="M8:M50" si="0">ROUND(E8*2.5%,0)</f>
        <v>338</v>
      </c>
      <c r="N8" s="98"/>
      <c r="O8" s="103">
        <f t="shared" ref="O8:O51" si="1">SUM(E8-M8-N8)</f>
        <v>13162</v>
      </c>
      <c r="P8" s="116">
        <f t="shared" ref="P8:P50" si="2">ROUND(E8*2.5%,0)</f>
        <v>338</v>
      </c>
      <c r="Q8" s="100"/>
    </row>
    <row r="9" spans="1:17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si="0"/>
        <v>335</v>
      </c>
      <c r="N9" s="98"/>
      <c r="O9" s="103">
        <f t="shared" si="1"/>
        <v>13065</v>
      </c>
      <c r="P9" s="116">
        <f t="shared" si="2"/>
        <v>335</v>
      </c>
      <c r="Q9" s="100"/>
    </row>
    <row r="10" spans="1:17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375</v>
      </c>
      <c r="N10" s="98">
        <v>651</v>
      </c>
      <c r="O10" s="103">
        <f t="shared" si="1"/>
        <v>15474</v>
      </c>
      <c r="P10" s="116">
        <v>375</v>
      </c>
      <c r="Q10" s="100"/>
    </row>
    <row r="11" spans="1:17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375</v>
      </c>
      <c r="N11" s="98"/>
      <c r="O11" s="103">
        <f t="shared" si="1"/>
        <v>16925</v>
      </c>
      <c r="P11" s="116">
        <v>375</v>
      </c>
      <c r="Q11" s="100"/>
    </row>
    <row r="12" spans="1:17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375</v>
      </c>
      <c r="N12" s="98"/>
      <c r="O12" s="103">
        <f t="shared" si="1"/>
        <v>18625</v>
      </c>
      <c r="P12" s="116">
        <v>375</v>
      </c>
      <c r="Q12" s="100"/>
    </row>
    <row r="13" spans="1:17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375</v>
      </c>
      <c r="N13" s="98">
        <v>1476</v>
      </c>
      <c r="O13" s="103">
        <f t="shared" si="1"/>
        <v>23149</v>
      </c>
      <c r="P13" s="116">
        <v>375</v>
      </c>
      <c r="Q13" s="100"/>
    </row>
    <row r="14" spans="1:17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375</v>
      </c>
      <c r="N14" s="98">
        <v>705</v>
      </c>
      <c r="O14" s="103">
        <f t="shared" si="1"/>
        <v>19420</v>
      </c>
      <c r="P14" s="116">
        <v>375</v>
      </c>
      <c r="Q14" s="100"/>
    </row>
    <row r="15" spans="1:17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375</v>
      </c>
      <c r="N15" s="98"/>
      <c r="O15" s="103">
        <f t="shared" si="1"/>
        <v>24625</v>
      </c>
      <c r="P15" s="116">
        <v>375</v>
      </c>
      <c r="Q15" s="100"/>
    </row>
    <row r="16" spans="1:17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375</v>
      </c>
      <c r="N16" s="98"/>
      <c r="O16" s="103">
        <f t="shared" si="1"/>
        <v>19325</v>
      </c>
      <c r="P16" s="116">
        <v>375</v>
      </c>
      <c r="Q16" s="100"/>
    </row>
    <row r="17" spans="1:17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375</v>
      </c>
      <c r="N17" s="98"/>
      <c r="O17" s="103">
        <f t="shared" si="1"/>
        <v>17225</v>
      </c>
      <c r="P17" s="116">
        <v>375</v>
      </c>
      <c r="Q17" s="100"/>
    </row>
    <row r="18" spans="1:17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375</v>
      </c>
      <c r="N18" s="98"/>
      <c r="O18" s="103">
        <f t="shared" si="1"/>
        <v>24625</v>
      </c>
      <c r="P18" s="116">
        <v>375</v>
      </c>
      <c r="Q18" s="100"/>
    </row>
    <row r="19" spans="1:17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375</v>
      </c>
      <c r="N19" s="98"/>
      <c r="O19" s="103">
        <f t="shared" si="1"/>
        <v>22325</v>
      </c>
      <c r="P19" s="116">
        <v>375</v>
      </c>
      <c r="Q19" s="100"/>
    </row>
    <row r="20" spans="1:17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375</v>
      </c>
      <c r="N20" s="98"/>
      <c r="O20" s="103">
        <f t="shared" si="1"/>
        <v>23125</v>
      </c>
      <c r="P20" s="116">
        <v>375</v>
      </c>
      <c r="Q20" s="100"/>
    </row>
    <row r="21" spans="1:17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375</v>
      </c>
      <c r="N21" s="98"/>
      <c r="O21" s="103">
        <f t="shared" si="1"/>
        <v>24625</v>
      </c>
      <c r="P21" s="116">
        <v>375</v>
      </c>
      <c r="Q21" s="100"/>
    </row>
    <row r="22" spans="1:17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375</v>
      </c>
      <c r="N22" s="98"/>
      <c r="O22" s="103">
        <f t="shared" si="1"/>
        <v>24625</v>
      </c>
      <c r="P22" s="116">
        <v>375</v>
      </c>
      <c r="Q22" s="100"/>
    </row>
    <row r="23" spans="1:17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375</v>
      </c>
      <c r="N23" s="98"/>
      <c r="O23" s="103">
        <f t="shared" si="1"/>
        <v>24625</v>
      </c>
      <c r="P23" s="116">
        <v>375</v>
      </c>
      <c r="Q23" s="100"/>
    </row>
    <row r="24" spans="1:17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375</v>
      </c>
      <c r="N24" s="98"/>
      <c r="O24" s="103">
        <f t="shared" si="1"/>
        <v>24625</v>
      </c>
      <c r="P24" s="116">
        <v>375</v>
      </c>
      <c r="Q24" s="100"/>
    </row>
    <row r="25" spans="1:17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375</v>
      </c>
      <c r="N25" s="98"/>
      <c r="O25" s="103">
        <f t="shared" si="1"/>
        <v>24625</v>
      </c>
      <c r="P25" s="116">
        <v>375</v>
      </c>
      <c r="Q25" s="100"/>
    </row>
    <row r="26" spans="1:17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375</v>
      </c>
      <c r="N26" s="98"/>
      <c r="O26" s="103">
        <f t="shared" si="1"/>
        <v>24625</v>
      </c>
      <c r="P26" s="116">
        <v>375</v>
      </c>
      <c r="Q26" s="100"/>
    </row>
    <row r="27" spans="1:17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f>+G27*H27</f>
        <v>9600</v>
      </c>
      <c r="F27" s="123"/>
      <c r="G27" s="123">
        <v>400</v>
      </c>
      <c r="H27" s="123">
        <v>24</v>
      </c>
      <c r="I27" s="123"/>
      <c r="J27" s="123"/>
      <c r="K27" s="126"/>
      <c r="L27" s="124"/>
      <c r="M27" s="124">
        <f t="shared" si="0"/>
        <v>240</v>
      </c>
      <c r="N27" s="135"/>
      <c r="O27" s="124">
        <f t="shared" si="1"/>
        <v>9360</v>
      </c>
      <c r="P27" s="128">
        <f t="shared" si="2"/>
        <v>240</v>
      </c>
      <c r="Q27" s="124"/>
    </row>
    <row r="28" spans="1:17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7920</v>
      </c>
      <c r="F28" s="123"/>
      <c r="G28" s="123">
        <v>360</v>
      </c>
      <c r="H28" s="123">
        <v>22</v>
      </c>
      <c r="I28" s="123"/>
      <c r="J28" s="123"/>
      <c r="K28" s="126"/>
      <c r="L28" s="124"/>
      <c r="M28" s="124">
        <f t="shared" si="0"/>
        <v>198</v>
      </c>
      <c r="N28" s="135"/>
      <c r="O28" s="124">
        <f t="shared" si="1"/>
        <v>7722</v>
      </c>
      <c r="P28" s="128">
        <f t="shared" si="2"/>
        <v>198</v>
      </c>
      <c r="Q28" s="124"/>
    </row>
    <row r="29" spans="1:17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375</v>
      </c>
      <c r="N29" s="98"/>
      <c r="O29" s="103">
        <f t="shared" si="1"/>
        <v>24625</v>
      </c>
      <c r="P29" s="98">
        <v>375</v>
      </c>
      <c r="Q29" s="100"/>
    </row>
    <row r="30" spans="1:17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375</v>
      </c>
      <c r="N30" s="98"/>
      <c r="O30" s="103">
        <f t="shared" si="1"/>
        <v>15125</v>
      </c>
      <c r="P30" s="116">
        <v>375</v>
      </c>
      <c r="Q30" s="100"/>
    </row>
    <row r="31" spans="1:17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375</v>
      </c>
      <c r="N31" s="98"/>
      <c r="O31" s="103">
        <f t="shared" si="1"/>
        <v>15125</v>
      </c>
      <c r="P31" s="116">
        <v>375</v>
      </c>
      <c r="Q31" s="100"/>
    </row>
    <row r="32" spans="1:17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375</v>
      </c>
      <c r="N32" s="98"/>
      <c r="O32" s="103">
        <f t="shared" si="1"/>
        <v>24625</v>
      </c>
      <c r="P32" s="116">
        <v>375</v>
      </c>
      <c r="Q32" s="102"/>
    </row>
    <row r="33" spans="1:17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8360</v>
      </c>
      <c r="F33" s="125" t="s">
        <v>88</v>
      </c>
      <c r="G33" s="123">
        <v>380</v>
      </c>
      <c r="H33" s="123">
        <v>22</v>
      </c>
      <c r="I33" s="123"/>
      <c r="J33" s="123"/>
      <c r="K33" s="126"/>
      <c r="L33" s="124"/>
      <c r="M33" s="124">
        <f>ROUND(E33*2.5%,0)</f>
        <v>209</v>
      </c>
      <c r="N33" s="135"/>
      <c r="O33" s="124">
        <f t="shared" si="1"/>
        <v>8151</v>
      </c>
      <c r="P33" s="128">
        <f t="shared" si="2"/>
        <v>209</v>
      </c>
      <c r="Q33" s="127"/>
    </row>
    <row r="34" spans="1:17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375</v>
      </c>
      <c r="N34" s="98"/>
      <c r="O34" s="103">
        <f t="shared" si="1"/>
        <v>15825</v>
      </c>
      <c r="P34" s="116">
        <v>375</v>
      </c>
      <c r="Q34" s="100"/>
    </row>
    <row r="35" spans="1:17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7260</v>
      </c>
      <c r="F35" s="125" t="s">
        <v>96</v>
      </c>
      <c r="G35" s="123">
        <v>330</v>
      </c>
      <c r="H35" s="123">
        <v>22</v>
      </c>
      <c r="I35" s="123"/>
      <c r="J35" s="123"/>
      <c r="K35" s="126"/>
      <c r="L35" s="124"/>
      <c r="M35" s="124">
        <f t="shared" si="0"/>
        <v>182</v>
      </c>
      <c r="N35" s="135"/>
      <c r="O35" s="124">
        <f t="shared" si="1"/>
        <v>7078</v>
      </c>
      <c r="P35" s="128">
        <f t="shared" si="2"/>
        <v>182</v>
      </c>
      <c r="Q35" s="127"/>
    </row>
    <row r="36" spans="1:17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7920</v>
      </c>
      <c r="F36" s="125" t="s">
        <v>96</v>
      </c>
      <c r="G36" s="123">
        <v>330</v>
      </c>
      <c r="H36" s="123">
        <v>24</v>
      </c>
      <c r="I36" s="123"/>
      <c r="J36" s="123"/>
      <c r="K36" s="126"/>
      <c r="L36" s="124"/>
      <c r="M36" s="124">
        <f t="shared" si="0"/>
        <v>198</v>
      </c>
      <c r="N36" s="135"/>
      <c r="O36" s="124">
        <f t="shared" si="1"/>
        <v>7722</v>
      </c>
      <c r="P36" s="128">
        <f t="shared" si="2"/>
        <v>198</v>
      </c>
      <c r="Q36" s="127"/>
    </row>
    <row r="37" spans="1:17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7920</v>
      </c>
      <c r="F37" s="125" t="s">
        <v>96</v>
      </c>
      <c r="G37" s="123">
        <v>330</v>
      </c>
      <c r="H37" s="123">
        <v>24</v>
      </c>
      <c r="I37" s="123"/>
      <c r="J37" s="123"/>
      <c r="K37" s="126"/>
      <c r="L37" s="124"/>
      <c r="M37" s="124">
        <f t="shared" si="0"/>
        <v>198</v>
      </c>
      <c r="N37" s="135"/>
      <c r="O37" s="124">
        <f t="shared" si="1"/>
        <v>7722</v>
      </c>
      <c r="P37" s="128">
        <f t="shared" si="2"/>
        <v>198</v>
      </c>
      <c r="Q37" s="124"/>
    </row>
    <row r="38" spans="1:17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7260</v>
      </c>
      <c r="F38" s="125" t="s">
        <v>96</v>
      </c>
      <c r="G38" s="123">
        <v>330</v>
      </c>
      <c r="H38" s="123">
        <v>22</v>
      </c>
      <c r="I38" s="123"/>
      <c r="J38" s="123"/>
      <c r="K38" s="126"/>
      <c r="L38" s="124"/>
      <c r="M38" s="124">
        <f t="shared" si="0"/>
        <v>182</v>
      </c>
      <c r="N38" s="135"/>
      <c r="O38" s="124">
        <f t="shared" si="1"/>
        <v>7078</v>
      </c>
      <c r="P38" s="128">
        <f t="shared" si="2"/>
        <v>182</v>
      </c>
      <c r="Q38" s="124"/>
    </row>
    <row r="39" spans="1:17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9600</v>
      </c>
      <c r="F39" s="133" t="s">
        <v>107</v>
      </c>
      <c r="G39" s="132">
        <v>400</v>
      </c>
      <c r="H39" s="132">
        <v>24</v>
      </c>
      <c r="I39" s="132"/>
      <c r="J39" s="132"/>
      <c r="K39" s="134"/>
      <c r="L39" s="135"/>
      <c r="M39" s="124">
        <f t="shared" si="0"/>
        <v>240</v>
      </c>
      <c r="N39" s="135"/>
      <c r="O39" s="124">
        <f t="shared" si="1"/>
        <v>9360</v>
      </c>
      <c r="P39" s="128">
        <f t="shared" si="2"/>
        <v>240</v>
      </c>
      <c r="Q39" s="124"/>
    </row>
    <row r="40" spans="1:17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7920</v>
      </c>
      <c r="F40" s="133" t="s">
        <v>111</v>
      </c>
      <c r="G40" s="132">
        <v>330</v>
      </c>
      <c r="H40" s="132">
        <v>24</v>
      </c>
      <c r="I40" s="132"/>
      <c r="J40" s="132"/>
      <c r="K40" s="134"/>
      <c r="L40" s="135"/>
      <c r="M40" s="124">
        <f t="shared" si="0"/>
        <v>198</v>
      </c>
      <c r="N40" s="135"/>
      <c r="O40" s="124">
        <f t="shared" si="1"/>
        <v>7722</v>
      </c>
      <c r="P40" s="128">
        <f t="shared" si="2"/>
        <v>198</v>
      </c>
      <c r="Q40" s="124"/>
    </row>
    <row r="41" spans="1:17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7920</v>
      </c>
      <c r="F41" s="133" t="s">
        <v>111</v>
      </c>
      <c r="G41" s="132">
        <v>330</v>
      </c>
      <c r="H41" s="132">
        <v>24</v>
      </c>
      <c r="I41" s="132"/>
      <c r="J41" s="132"/>
      <c r="K41" s="134"/>
      <c r="L41" s="135"/>
      <c r="M41" s="124">
        <f t="shared" si="0"/>
        <v>198</v>
      </c>
      <c r="N41" s="135"/>
      <c r="O41" s="124">
        <f t="shared" si="1"/>
        <v>7722</v>
      </c>
      <c r="P41" s="128">
        <f t="shared" si="2"/>
        <v>198</v>
      </c>
      <c r="Q41" s="124"/>
    </row>
    <row r="42" spans="1:17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7920</v>
      </c>
      <c r="F42" s="133" t="s">
        <v>111</v>
      </c>
      <c r="G42" s="132">
        <v>330</v>
      </c>
      <c r="H42" s="132">
        <v>24</v>
      </c>
      <c r="I42" s="132"/>
      <c r="J42" s="132"/>
      <c r="K42" s="134"/>
      <c r="L42" s="135"/>
      <c r="M42" s="124">
        <f t="shared" si="0"/>
        <v>198</v>
      </c>
      <c r="N42" s="135"/>
      <c r="O42" s="124">
        <f t="shared" si="1"/>
        <v>7722</v>
      </c>
      <c r="P42" s="128">
        <f t="shared" si="2"/>
        <v>198</v>
      </c>
      <c r="Q42" s="132"/>
    </row>
    <row r="43" spans="1:17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375</v>
      </c>
      <c r="N43" s="98"/>
      <c r="O43" s="103">
        <f t="shared" si="1"/>
        <v>24625</v>
      </c>
      <c r="P43" s="116">
        <v>375</v>
      </c>
      <c r="Q43" s="100"/>
    </row>
    <row r="44" spans="1:17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7920</v>
      </c>
      <c r="F44" s="138" t="s">
        <v>106</v>
      </c>
      <c r="G44" s="123">
        <v>330</v>
      </c>
      <c r="H44" s="123">
        <v>24</v>
      </c>
      <c r="I44" s="123"/>
      <c r="J44" s="123"/>
      <c r="K44" s="126"/>
      <c r="L44" s="124"/>
      <c r="M44" s="124">
        <f t="shared" si="0"/>
        <v>198</v>
      </c>
      <c r="N44" s="135"/>
      <c r="O44" s="124">
        <f t="shared" si="1"/>
        <v>7722</v>
      </c>
      <c r="P44" s="128">
        <f t="shared" si="2"/>
        <v>198</v>
      </c>
      <c r="Q44" s="139"/>
    </row>
    <row r="45" spans="1:17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 t="shared" si="0"/>
        <v>300</v>
      </c>
      <c r="N45" s="98"/>
      <c r="O45" s="103">
        <f t="shared" si="1"/>
        <v>11700</v>
      </c>
      <c r="P45" s="116">
        <f t="shared" si="2"/>
        <v>300</v>
      </c>
      <c r="Q45" s="100"/>
    </row>
    <row r="46" spans="1:17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103">
        <f t="shared" si="0"/>
        <v>375</v>
      </c>
      <c r="N46" s="98"/>
      <c r="O46" s="103">
        <f t="shared" si="1"/>
        <v>14625</v>
      </c>
      <c r="P46" s="116">
        <f t="shared" si="2"/>
        <v>375</v>
      </c>
      <c r="Q46" s="95"/>
    </row>
    <row r="47" spans="1:17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103">
        <f t="shared" si="0"/>
        <v>375</v>
      </c>
      <c r="N47" s="98"/>
      <c r="O47" s="103">
        <f t="shared" si="1"/>
        <v>14625</v>
      </c>
      <c r="P47" s="116">
        <f t="shared" si="2"/>
        <v>375</v>
      </c>
      <c r="Q47" s="95"/>
    </row>
    <row r="48" spans="1:17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103">
        <f t="shared" si="0"/>
        <v>375</v>
      </c>
      <c r="N48" s="98"/>
      <c r="O48" s="103">
        <f t="shared" si="1"/>
        <v>14625</v>
      </c>
      <c r="P48" s="116">
        <f t="shared" si="2"/>
        <v>375</v>
      </c>
      <c r="Q48" s="95"/>
    </row>
    <row r="49" spans="1:17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103">
        <f t="shared" si="0"/>
        <v>375</v>
      </c>
      <c r="N49" s="98"/>
      <c r="O49" s="103">
        <f t="shared" si="1"/>
        <v>14625</v>
      </c>
      <c r="P49" s="116">
        <f t="shared" si="2"/>
        <v>375</v>
      </c>
      <c r="Q49" s="95"/>
    </row>
    <row r="50" spans="1:17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>
        <f>G50*H50</f>
        <v>7700</v>
      </c>
      <c r="F50" s="144" t="s">
        <v>139</v>
      </c>
      <c r="G50" s="143">
        <v>350</v>
      </c>
      <c r="H50" s="143">
        <v>22</v>
      </c>
      <c r="I50" s="143"/>
      <c r="J50" s="143"/>
      <c r="K50" s="145"/>
      <c r="L50" s="128"/>
      <c r="M50" s="124">
        <f t="shared" si="0"/>
        <v>193</v>
      </c>
      <c r="N50" s="128"/>
      <c r="O50" s="124">
        <f t="shared" si="1"/>
        <v>7507</v>
      </c>
      <c r="P50" s="128">
        <f t="shared" si="2"/>
        <v>193</v>
      </c>
      <c r="Q50" s="146"/>
    </row>
    <row r="51" spans="1:17" s="105" customFormat="1">
      <c r="A51" s="117">
        <v>45</v>
      </c>
      <c r="B51" s="180" t="s">
        <v>163</v>
      </c>
      <c r="C51" s="181">
        <v>6016100144033</v>
      </c>
      <c r="D51" s="182" t="s">
        <v>32</v>
      </c>
      <c r="E51" s="116">
        <v>23000</v>
      </c>
      <c r="F51" s="99" t="s">
        <v>164</v>
      </c>
      <c r="G51" s="95"/>
      <c r="H51" s="95"/>
      <c r="I51" s="183"/>
      <c r="J51" s="183"/>
      <c r="K51" s="184"/>
      <c r="L51" s="185"/>
      <c r="M51" s="103">
        <v>375</v>
      </c>
      <c r="N51" s="116"/>
      <c r="O51" s="103">
        <f t="shared" si="1"/>
        <v>22625</v>
      </c>
      <c r="P51" s="116">
        <v>375</v>
      </c>
      <c r="Q51" s="186" t="s">
        <v>182</v>
      </c>
    </row>
    <row r="52" spans="1:17" s="86" customFormat="1" ht="22.5" thickBot="1">
      <c r="A52" s="402" t="s">
        <v>103</v>
      </c>
      <c r="B52" s="402"/>
      <c r="C52" s="402"/>
      <c r="D52" s="402"/>
      <c r="E52" s="89">
        <f>SUM(E7:E51)</f>
        <v>745720</v>
      </c>
      <c r="F52" s="87"/>
      <c r="G52" s="87"/>
      <c r="H52" s="87"/>
      <c r="I52" s="87"/>
      <c r="J52" s="87"/>
      <c r="K52" s="87"/>
      <c r="L52" s="87"/>
      <c r="M52" s="89">
        <f>SUM(M7:M51)</f>
        <v>14470</v>
      </c>
      <c r="N52" s="89">
        <f t="shared" ref="N52:P52" si="4">SUM(N7:N51)</f>
        <v>2832</v>
      </c>
      <c r="O52" s="89">
        <f t="shared" si="4"/>
        <v>728418</v>
      </c>
      <c r="P52" s="89">
        <f t="shared" si="4"/>
        <v>14470</v>
      </c>
      <c r="Q52" s="88"/>
    </row>
    <row r="53" spans="1:17" ht="23.25" thickTop="1" thickBot="1">
      <c r="A53" s="119"/>
      <c r="B53" s="3"/>
      <c r="C53" s="3"/>
      <c r="D53" s="3"/>
      <c r="E53" s="39"/>
      <c r="F53" s="39"/>
      <c r="G53" s="39"/>
      <c r="H53" s="39"/>
      <c r="I53" s="39"/>
      <c r="J53" s="39"/>
      <c r="K53" s="39"/>
      <c r="L53" s="39"/>
      <c r="M53" s="39"/>
      <c r="N53" s="166"/>
      <c r="O53" s="39"/>
      <c r="Q53" s="5"/>
    </row>
    <row r="54" spans="1:17" ht="44.25" thickBot="1">
      <c r="A54" s="119"/>
      <c r="B54" s="50" t="s">
        <v>12</v>
      </c>
      <c r="C54" s="3"/>
      <c r="D54" s="3"/>
      <c r="E54" s="39"/>
      <c r="F54" s="156" t="s">
        <v>145</v>
      </c>
      <c r="G54" s="39"/>
      <c r="H54" s="39"/>
      <c r="I54" s="39"/>
      <c r="J54" s="39"/>
      <c r="K54" s="39"/>
      <c r="L54" s="28" t="s">
        <v>158</v>
      </c>
      <c r="M54" s="153" t="s">
        <v>159</v>
      </c>
      <c r="N54" s="164" t="s">
        <v>150</v>
      </c>
      <c r="O54" s="153" t="s">
        <v>11</v>
      </c>
      <c r="Q54" s="5"/>
    </row>
    <row r="55" spans="1:17">
      <c r="A55" s="119"/>
      <c r="B55" s="52" t="s">
        <v>156</v>
      </c>
      <c r="C55" s="149">
        <v>0</v>
      </c>
      <c r="D55" s="54" t="s">
        <v>142</v>
      </c>
      <c r="E55" s="55" t="s">
        <v>140</v>
      </c>
      <c r="F55" s="170" t="s">
        <v>141</v>
      </c>
      <c r="G55" s="170">
        <v>13</v>
      </c>
      <c r="H55" s="171" t="s">
        <v>142</v>
      </c>
      <c r="I55" s="148"/>
      <c r="J55" s="148"/>
      <c r="L55" s="16">
        <f>+E27+E28+E33+E35+E36+E37+E38+E39+E40+E41+E42+E44+E50</f>
        <v>105220</v>
      </c>
      <c r="M55" s="16">
        <f>+M27+M28+M33+M35+M36+M37+M38+M39+M40+M41+M42+M44+M50</f>
        <v>2632</v>
      </c>
      <c r="N55" s="24">
        <v>0</v>
      </c>
      <c r="O55" s="175">
        <f>+O27+O28+O33+O35+O36+O37+O38+O39+O40+O41+O42+O44+O50</f>
        <v>102588</v>
      </c>
      <c r="Q55" s="5"/>
    </row>
    <row r="56" spans="1:17">
      <c r="A56" s="119"/>
      <c r="B56" s="56" t="s">
        <v>137</v>
      </c>
      <c r="C56" s="150">
        <v>0</v>
      </c>
      <c r="D56" s="6" t="s">
        <v>142</v>
      </c>
      <c r="E56" s="190" t="s">
        <v>162</v>
      </c>
      <c r="F56" s="173" t="s">
        <v>144</v>
      </c>
      <c r="G56" s="173">
        <v>32</v>
      </c>
      <c r="H56" s="174" t="s">
        <v>142</v>
      </c>
      <c r="I56" s="148"/>
      <c r="J56" s="148"/>
      <c r="L56" s="16">
        <f>+E7+E8+E9+E10+E11+E12+E13+E14+E15+E16+E17+E18+E19+E20+E21+E22+E23+E24+E25+E26+E29+E30+E31+E32+E34+E43+E45+E46+E47+E48+E49</f>
        <v>617500</v>
      </c>
      <c r="M56" s="16">
        <f>+M7+M8+M9+M10+M11+M12+M13+M14+M15+M16+M17+M18+M19+M20+M21+M22+M23+M24+M25+M26+M29+M30+M31+M32+M34+M43+M45+M46+M47+M48+M49+M51</f>
        <v>11838</v>
      </c>
      <c r="N56" s="24">
        <f>+N10+N13+N14</f>
        <v>2832</v>
      </c>
      <c r="O56" s="16">
        <f>+O7+O8+O9+O10+O11+O12+O13+O14+O15+O16+O17+O18+O19+O20+O21+O22+O23+O24+O25+O26+O29+O30+O31+O32+O34+O43+O45+O46+O47+O48+O49+O51</f>
        <v>625830</v>
      </c>
      <c r="Q56" s="5"/>
    </row>
    <row r="57" spans="1:17" ht="22.5" thickBot="1">
      <c r="A57" s="119"/>
      <c r="B57" s="419"/>
      <c r="C57" s="420"/>
      <c r="D57" s="187"/>
      <c r="E57" s="188"/>
      <c r="F57" s="189" t="s">
        <v>147</v>
      </c>
      <c r="G57" s="69">
        <f>SUM(G55:G56)</f>
        <v>45</v>
      </c>
      <c r="H57" s="155" t="s">
        <v>142</v>
      </c>
      <c r="I57" s="154"/>
      <c r="J57" s="154"/>
      <c r="L57" s="176">
        <f>SUM(L55:L56)</f>
        <v>722720</v>
      </c>
      <c r="M57" s="176">
        <f>SUM(M55:M56)</f>
        <v>14470</v>
      </c>
      <c r="N57" s="177">
        <f>SUM(N55:N56)</f>
        <v>2832</v>
      </c>
      <c r="O57" s="176">
        <f>SUM(O55:O56)</f>
        <v>728418</v>
      </c>
    </row>
  </sheetData>
  <mergeCells count="17">
    <mergeCell ref="B57:C57"/>
    <mergeCell ref="I5:J5"/>
    <mergeCell ref="K5:N5"/>
    <mergeCell ref="O5:O6"/>
    <mergeCell ref="P5:P6"/>
    <mergeCell ref="Q5:Q6"/>
    <mergeCell ref="A52:D52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H5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67" orientation="landscape" horizontalDpi="4294967293" r:id="rId1"/>
  <rowBreaks count="1" manualBreakCount="1">
    <brk id="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7107-030D-47C9-A5DB-93B0ADB377B7}">
  <dimension ref="A1:R62"/>
  <sheetViews>
    <sheetView view="pageBreakPreview" zoomScale="90" zoomScaleNormal="90" zoomScaleSheetLayoutView="90" workbookViewId="0">
      <pane xSplit="6" ySplit="6" topLeftCell="G54" activePane="bottomRight" state="frozen"/>
      <selection pane="topRight" activeCell="G1" sqref="G1"/>
      <selection pane="bottomLeft" activeCell="A7" sqref="A7"/>
      <selection pane="bottomRight" activeCell="B59" sqref="B59:G62"/>
    </sheetView>
  </sheetViews>
  <sheetFormatPr defaultColWidth="9" defaultRowHeight="21.75"/>
  <cols>
    <col min="1" max="1" width="9" style="120"/>
    <col min="2" max="3" width="22.7109375" style="1" customWidth="1"/>
    <col min="4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" style="1" hidden="1" customWidth="1"/>
    <col min="14" max="14" width="14.140625" style="1" bestFit="1" customWidth="1"/>
    <col min="15" max="15" width="11.85546875" style="168" bestFit="1" customWidth="1"/>
    <col min="16" max="16" width="14.42578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173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21" t="s">
        <v>161</v>
      </c>
      <c r="R5" s="376" t="s">
        <v>12</v>
      </c>
    </row>
    <row r="6" spans="1:18" ht="44.25" thickBot="1">
      <c r="A6" s="415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160</v>
      </c>
      <c r="O6" s="164" t="s">
        <v>150</v>
      </c>
      <c r="P6" s="396"/>
      <c r="Q6" s="421"/>
      <c r="R6" s="377"/>
    </row>
    <row r="7" spans="1:18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98" t="s">
        <v>168</v>
      </c>
      <c r="F7" s="103">
        <v>14600</v>
      </c>
      <c r="G7" s="107"/>
      <c r="H7" s="107"/>
      <c r="I7" s="107"/>
      <c r="J7" s="107"/>
      <c r="K7" s="107"/>
      <c r="L7" s="109"/>
      <c r="M7" s="103"/>
      <c r="N7" s="103">
        <f>ROUND(F7*2.5%,0)</f>
        <v>365</v>
      </c>
      <c r="O7" s="98"/>
      <c r="P7" s="103">
        <f>SUM(F7-N7-O7)</f>
        <v>14235</v>
      </c>
      <c r="Q7" s="116">
        <f>ROUND(F7*2.5%,0)</f>
        <v>365</v>
      </c>
      <c r="R7" s="152"/>
    </row>
    <row r="8" spans="1:18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93" t="s">
        <v>169</v>
      </c>
      <c r="F8" s="103">
        <v>13500</v>
      </c>
      <c r="G8" s="107"/>
      <c r="H8" s="107"/>
      <c r="I8" s="107"/>
      <c r="J8" s="107"/>
      <c r="K8" s="107"/>
      <c r="L8" s="109"/>
      <c r="M8" s="103"/>
      <c r="N8" s="103">
        <f t="shared" ref="N8:N50" si="0">ROUND(F8*2.5%,0)</f>
        <v>338</v>
      </c>
      <c r="O8" s="98"/>
      <c r="P8" s="103">
        <f t="shared" ref="P8:P51" si="1">SUM(F8-N8-O8)</f>
        <v>13162</v>
      </c>
      <c r="Q8" s="116">
        <f t="shared" ref="Q8:Q50" si="2">ROUND(F8*2.5%,0)</f>
        <v>338</v>
      </c>
      <c r="R8" s="100"/>
    </row>
    <row r="9" spans="1:18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93" t="s">
        <v>169</v>
      </c>
      <c r="F9" s="103">
        <v>13400</v>
      </c>
      <c r="G9" s="107"/>
      <c r="H9" s="107"/>
      <c r="I9" s="107"/>
      <c r="J9" s="107"/>
      <c r="K9" s="107"/>
      <c r="L9" s="109"/>
      <c r="M9" s="103"/>
      <c r="N9" s="103">
        <f t="shared" si="0"/>
        <v>335</v>
      </c>
      <c r="O9" s="98"/>
      <c r="P9" s="103">
        <f t="shared" si="1"/>
        <v>13065</v>
      </c>
      <c r="Q9" s="116">
        <f t="shared" si="2"/>
        <v>335</v>
      </c>
      <c r="R9" s="100"/>
    </row>
    <row r="10" spans="1:18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93" t="s">
        <v>169</v>
      </c>
      <c r="F10" s="103">
        <v>16500</v>
      </c>
      <c r="G10" s="107"/>
      <c r="H10" s="107"/>
      <c r="I10" s="107"/>
      <c r="J10" s="107"/>
      <c r="K10" s="107"/>
      <c r="L10" s="109"/>
      <c r="M10" s="103"/>
      <c r="N10" s="103">
        <v>375</v>
      </c>
      <c r="O10" s="98">
        <v>651</v>
      </c>
      <c r="P10" s="103">
        <f t="shared" si="1"/>
        <v>15474</v>
      </c>
      <c r="Q10" s="116">
        <v>375</v>
      </c>
      <c r="R10" s="100"/>
    </row>
    <row r="11" spans="1:18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93" t="s">
        <v>169</v>
      </c>
      <c r="F11" s="103">
        <v>17300</v>
      </c>
      <c r="G11" s="107"/>
      <c r="H11" s="107"/>
      <c r="I11" s="107"/>
      <c r="J11" s="107"/>
      <c r="K11" s="107"/>
      <c r="L11" s="109"/>
      <c r="M11" s="103"/>
      <c r="N11" s="103">
        <v>375</v>
      </c>
      <c r="O11" s="98"/>
      <c r="P11" s="103">
        <f t="shared" si="1"/>
        <v>16925</v>
      </c>
      <c r="Q11" s="116">
        <v>375</v>
      </c>
      <c r="R11" s="100"/>
    </row>
    <row r="12" spans="1:18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98" t="s">
        <v>168</v>
      </c>
      <c r="F12" s="103">
        <v>19000</v>
      </c>
      <c r="G12" s="107"/>
      <c r="H12" s="107"/>
      <c r="I12" s="107"/>
      <c r="J12" s="107"/>
      <c r="K12" s="107"/>
      <c r="L12" s="109"/>
      <c r="M12" s="103"/>
      <c r="N12" s="103">
        <v>375</v>
      </c>
      <c r="O12" s="98"/>
      <c r="P12" s="103">
        <f t="shared" si="1"/>
        <v>18625</v>
      </c>
      <c r="Q12" s="116">
        <v>375</v>
      </c>
      <c r="R12" s="100"/>
    </row>
    <row r="13" spans="1:18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93" t="s">
        <v>169</v>
      </c>
      <c r="F13" s="103">
        <v>25000</v>
      </c>
      <c r="G13" s="107"/>
      <c r="H13" s="107"/>
      <c r="I13" s="107"/>
      <c r="J13" s="107"/>
      <c r="K13" s="107"/>
      <c r="L13" s="109"/>
      <c r="M13" s="103"/>
      <c r="N13" s="103">
        <v>375</v>
      </c>
      <c r="O13" s="98">
        <v>1476</v>
      </c>
      <c r="P13" s="103">
        <f t="shared" si="1"/>
        <v>23149</v>
      </c>
      <c r="Q13" s="116">
        <v>375</v>
      </c>
      <c r="R13" s="100"/>
    </row>
    <row r="14" spans="1:18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93" t="s">
        <v>169</v>
      </c>
      <c r="F14" s="103">
        <v>20500</v>
      </c>
      <c r="G14" s="107"/>
      <c r="H14" s="107"/>
      <c r="I14" s="107"/>
      <c r="J14" s="107"/>
      <c r="K14" s="107"/>
      <c r="L14" s="109"/>
      <c r="M14" s="103"/>
      <c r="N14" s="103">
        <v>375</v>
      </c>
      <c r="O14" s="98">
        <v>705</v>
      </c>
      <c r="P14" s="103">
        <f t="shared" si="1"/>
        <v>19420</v>
      </c>
      <c r="Q14" s="116">
        <v>375</v>
      </c>
      <c r="R14" s="100"/>
    </row>
    <row r="15" spans="1:18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98" t="s">
        <v>168</v>
      </c>
      <c r="F15" s="103">
        <v>25000</v>
      </c>
      <c r="G15" s="107"/>
      <c r="H15" s="107"/>
      <c r="I15" s="107"/>
      <c r="J15" s="107"/>
      <c r="K15" s="107"/>
      <c r="L15" s="109"/>
      <c r="M15" s="103"/>
      <c r="N15" s="103">
        <v>375</v>
      </c>
      <c r="O15" s="98"/>
      <c r="P15" s="103">
        <f t="shared" si="1"/>
        <v>24625</v>
      </c>
      <c r="Q15" s="116">
        <v>375</v>
      </c>
      <c r="R15" s="100"/>
    </row>
    <row r="16" spans="1:18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98" t="s">
        <v>168</v>
      </c>
      <c r="F16" s="103">
        <v>19700</v>
      </c>
      <c r="G16" s="107"/>
      <c r="H16" s="107"/>
      <c r="I16" s="107"/>
      <c r="J16" s="107"/>
      <c r="K16" s="107"/>
      <c r="L16" s="109"/>
      <c r="M16" s="103"/>
      <c r="N16" s="103">
        <v>375</v>
      </c>
      <c r="O16" s="98"/>
      <c r="P16" s="103">
        <f t="shared" si="1"/>
        <v>19325</v>
      </c>
      <c r="Q16" s="116">
        <v>375</v>
      </c>
      <c r="R16" s="100"/>
    </row>
    <row r="17" spans="1:18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98" t="s">
        <v>168</v>
      </c>
      <c r="F17" s="103">
        <v>17600</v>
      </c>
      <c r="G17" s="107"/>
      <c r="H17" s="107"/>
      <c r="I17" s="107"/>
      <c r="J17" s="107"/>
      <c r="K17" s="107"/>
      <c r="L17" s="109"/>
      <c r="M17" s="103"/>
      <c r="N17" s="103">
        <v>375</v>
      </c>
      <c r="O17" s="98"/>
      <c r="P17" s="103">
        <f t="shared" si="1"/>
        <v>17225</v>
      </c>
      <c r="Q17" s="116">
        <v>375</v>
      </c>
      <c r="R17" s="100"/>
    </row>
    <row r="18" spans="1:18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98" t="s">
        <v>168</v>
      </c>
      <c r="F18" s="103">
        <v>25000</v>
      </c>
      <c r="G18" s="107"/>
      <c r="H18" s="107"/>
      <c r="I18" s="107"/>
      <c r="J18" s="107"/>
      <c r="K18" s="107"/>
      <c r="L18" s="109"/>
      <c r="M18" s="103"/>
      <c r="N18" s="103">
        <v>375</v>
      </c>
      <c r="O18" s="98"/>
      <c r="P18" s="103">
        <f t="shared" si="1"/>
        <v>24625</v>
      </c>
      <c r="Q18" s="116">
        <v>375</v>
      </c>
      <c r="R18" s="100"/>
    </row>
    <row r="19" spans="1:18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98" t="s">
        <v>168</v>
      </c>
      <c r="F19" s="103">
        <v>22700</v>
      </c>
      <c r="G19" s="107"/>
      <c r="H19" s="107"/>
      <c r="I19" s="107"/>
      <c r="J19" s="107"/>
      <c r="K19" s="107"/>
      <c r="L19" s="109"/>
      <c r="M19" s="103"/>
      <c r="N19" s="103">
        <v>375</v>
      </c>
      <c r="O19" s="98"/>
      <c r="P19" s="103">
        <f t="shared" si="1"/>
        <v>22325</v>
      </c>
      <c r="Q19" s="116">
        <v>375</v>
      </c>
      <c r="R19" s="100"/>
    </row>
    <row r="20" spans="1:18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93" t="s">
        <v>169</v>
      </c>
      <c r="F20" s="103">
        <v>23500</v>
      </c>
      <c r="G20" s="107"/>
      <c r="H20" s="107"/>
      <c r="I20" s="107"/>
      <c r="J20" s="107"/>
      <c r="K20" s="107"/>
      <c r="L20" s="109"/>
      <c r="M20" s="103"/>
      <c r="N20" s="103">
        <v>375</v>
      </c>
      <c r="O20" s="98"/>
      <c r="P20" s="103">
        <f t="shared" si="1"/>
        <v>23125</v>
      </c>
      <c r="Q20" s="116">
        <v>375</v>
      </c>
      <c r="R20" s="100"/>
    </row>
    <row r="21" spans="1:18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93" t="s">
        <v>169</v>
      </c>
      <c r="F21" s="103">
        <v>25000</v>
      </c>
      <c r="G21" s="107"/>
      <c r="H21" s="107"/>
      <c r="I21" s="107"/>
      <c r="J21" s="107"/>
      <c r="K21" s="107"/>
      <c r="L21" s="109"/>
      <c r="M21" s="103"/>
      <c r="N21" s="103">
        <v>375</v>
      </c>
      <c r="O21" s="98"/>
      <c r="P21" s="103">
        <f t="shared" si="1"/>
        <v>24625</v>
      </c>
      <c r="Q21" s="116">
        <v>375</v>
      </c>
      <c r="R21" s="100"/>
    </row>
    <row r="22" spans="1:18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98" t="s">
        <v>168</v>
      </c>
      <c r="F22" s="103">
        <v>25000</v>
      </c>
      <c r="G22" s="107"/>
      <c r="H22" s="107"/>
      <c r="I22" s="107"/>
      <c r="J22" s="107"/>
      <c r="K22" s="107"/>
      <c r="L22" s="109"/>
      <c r="M22" s="103"/>
      <c r="N22" s="103">
        <v>375</v>
      </c>
      <c r="O22" s="98"/>
      <c r="P22" s="103">
        <f t="shared" si="1"/>
        <v>24625</v>
      </c>
      <c r="Q22" s="116">
        <v>375</v>
      </c>
      <c r="R22" s="100"/>
    </row>
    <row r="23" spans="1:18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98" t="s">
        <v>168</v>
      </c>
      <c r="F23" s="103">
        <v>25000</v>
      </c>
      <c r="G23" s="107"/>
      <c r="H23" s="107"/>
      <c r="I23" s="107"/>
      <c r="J23" s="107"/>
      <c r="K23" s="107"/>
      <c r="L23" s="109"/>
      <c r="M23" s="103"/>
      <c r="N23" s="103">
        <v>375</v>
      </c>
      <c r="O23" s="98"/>
      <c r="P23" s="103">
        <f t="shared" si="1"/>
        <v>24625</v>
      </c>
      <c r="Q23" s="116">
        <v>375</v>
      </c>
      <c r="R23" s="100"/>
    </row>
    <row r="24" spans="1:18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98" t="s">
        <v>168</v>
      </c>
      <c r="F24" s="103">
        <v>25000</v>
      </c>
      <c r="G24" s="107"/>
      <c r="H24" s="107"/>
      <c r="I24" s="107"/>
      <c r="J24" s="107"/>
      <c r="K24" s="107"/>
      <c r="L24" s="109"/>
      <c r="M24" s="103"/>
      <c r="N24" s="103">
        <v>375</v>
      </c>
      <c r="O24" s="98"/>
      <c r="P24" s="103">
        <f t="shared" si="1"/>
        <v>24625</v>
      </c>
      <c r="Q24" s="116">
        <v>375</v>
      </c>
      <c r="R24" s="100"/>
    </row>
    <row r="25" spans="1:18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98" t="s">
        <v>168</v>
      </c>
      <c r="F25" s="103">
        <v>25000</v>
      </c>
      <c r="G25" s="107"/>
      <c r="H25" s="107"/>
      <c r="I25" s="107"/>
      <c r="J25" s="107"/>
      <c r="K25" s="107"/>
      <c r="L25" s="109"/>
      <c r="M25" s="103"/>
      <c r="N25" s="103">
        <v>375</v>
      </c>
      <c r="O25" s="98"/>
      <c r="P25" s="103">
        <f t="shared" si="1"/>
        <v>24625</v>
      </c>
      <c r="Q25" s="116">
        <v>375</v>
      </c>
      <c r="R25" s="100"/>
    </row>
    <row r="26" spans="1:18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98" t="s">
        <v>168</v>
      </c>
      <c r="F26" s="103">
        <v>25000</v>
      </c>
      <c r="G26" s="107"/>
      <c r="H26" s="107"/>
      <c r="I26" s="107"/>
      <c r="J26" s="107"/>
      <c r="K26" s="107"/>
      <c r="L26" s="109"/>
      <c r="M26" s="103"/>
      <c r="N26" s="103">
        <v>375</v>
      </c>
      <c r="O26" s="98"/>
      <c r="P26" s="103">
        <f t="shared" si="1"/>
        <v>24625</v>
      </c>
      <c r="Q26" s="116">
        <v>375</v>
      </c>
      <c r="R26" s="100"/>
    </row>
    <row r="27" spans="1:18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98" t="s">
        <v>168</v>
      </c>
      <c r="F27" s="124">
        <f>+H27*I27</f>
        <v>9600</v>
      </c>
      <c r="G27" s="123"/>
      <c r="H27" s="123">
        <v>400</v>
      </c>
      <c r="I27" s="123">
        <v>24</v>
      </c>
      <c r="J27" s="123"/>
      <c r="K27" s="123"/>
      <c r="L27" s="126"/>
      <c r="M27" s="124"/>
      <c r="N27" s="124">
        <f t="shared" si="0"/>
        <v>240</v>
      </c>
      <c r="O27" s="135"/>
      <c r="P27" s="124">
        <f t="shared" si="1"/>
        <v>9360</v>
      </c>
      <c r="Q27" s="128">
        <f t="shared" si="2"/>
        <v>240</v>
      </c>
      <c r="R27" s="124"/>
    </row>
    <row r="28" spans="1:18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98" t="s">
        <v>168</v>
      </c>
      <c r="F28" s="124">
        <f>+H28*I28</f>
        <v>7920</v>
      </c>
      <c r="G28" s="123"/>
      <c r="H28" s="123">
        <v>360</v>
      </c>
      <c r="I28" s="123">
        <v>22</v>
      </c>
      <c r="J28" s="123"/>
      <c r="K28" s="123"/>
      <c r="L28" s="126"/>
      <c r="M28" s="124"/>
      <c r="N28" s="124">
        <f t="shared" si="0"/>
        <v>198</v>
      </c>
      <c r="O28" s="135"/>
      <c r="P28" s="124">
        <f t="shared" si="1"/>
        <v>7722</v>
      </c>
      <c r="Q28" s="128">
        <f t="shared" si="2"/>
        <v>198</v>
      </c>
      <c r="R28" s="124"/>
    </row>
    <row r="29" spans="1:18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98" t="s">
        <v>168</v>
      </c>
      <c r="F29" s="103">
        <v>25000</v>
      </c>
      <c r="G29" s="107"/>
      <c r="H29" s="107"/>
      <c r="I29" s="107"/>
      <c r="J29" s="107"/>
      <c r="K29" s="107"/>
      <c r="L29" s="109"/>
      <c r="M29" s="103"/>
      <c r="N29" s="103">
        <v>375</v>
      </c>
      <c r="O29" s="98"/>
      <c r="P29" s="103">
        <f t="shared" si="1"/>
        <v>24625</v>
      </c>
      <c r="Q29" s="98">
        <v>375</v>
      </c>
      <c r="R29" s="100"/>
    </row>
    <row r="30" spans="1:18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93" t="s">
        <v>169</v>
      </c>
      <c r="F30" s="103">
        <v>15500</v>
      </c>
      <c r="G30" s="113" t="s">
        <v>80</v>
      </c>
      <c r="H30" s="107"/>
      <c r="I30" s="107"/>
      <c r="J30" s="107"/>
      <c r="K30" s="107"/>
      <c r="L30" s="109"/>
      <c r="M30" s="103"/>
      <c r="N30" s="103">
        <v>375</v>
      </c>
      <c r="O30" s="98"/>
      <c r="P30" s="103">
        <f t="shared" si="1"/>
        <v>15125</v>
      </c>
      <c r="Q30" s="116">
        <v>375</v>
      </c>
      <c r="R30" s="100"/>
    </row>
    <row r="31" spans="1:18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261" t="s">
        <v>169</v>
      </c>
      <c r="F31" s="98">
        <v>15500</v>
      </c>
      <c r="G31" s="113" t="s">
        <v>83</v>
      </c>
      <c r="H31" s="95"/>
      <c r="I31" s="95"/>
      <c r="J31" s="95"/>
      <c r="K31" s="95"/>
      <c r="L31" s="109"/>
      <c r="M31" s="103"/>
      <c r="N31" s="103">
        <v>375</v>
      </c>
      <c r="O31" s="98"/>
      <c r="P31" s="103">
        <f t="shared" si="1"/>
        <v>15125</v>
      </c>
      <c r="Q31" s="116">
        <v>375</v>
      </c>
      <c r="R31" s="100"/>
    </row>
    <row r="32" spans="1:18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98" t="s">
        <v>168</v>
      </c>
      <c r="F32" s="103">
        <v>25000</v>
      </c>
      <c r="G32" s="108" t="s">
        <v>88</v>
      </c>
      <c r="H32" s="107"/>
      <c r="I32" s="107"/>
      <c r="J32" s="107"/>
      <c r="K32" s="107"/>
      <c r="L32" s="109"/>
      <c r="M32" s="103"/>
      <c r="N32" s="103">
        <v>375</v>
      </c>
      <c r="O32" s="98"/>
      <c r="P32" s="103">
        <f t="shared" si="1"/>
        <v>24625</v>
      </c>
      <c r="Q32" s="116">
        <v>375</v>
      </c>
      <c r="R32" s="102"/>
    </row>
    <row r="33" spans="1:18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98" t="s">
        <v>168</v>
      </c>
      <c r="F33" s="124">
        <f>+H33*I33</f>
        <v>8360</v>
      </c>
      <c r="G33" s="125" t="s">
        <v>88</v>
      </c>
      <c r="H33" s="123">
        <v>380</v>
      </c>
      <c r="I33" s="123">
        <v>22</v>
      </c>
      <c r="J33" s="123"/>
      <c r="K33" s="123"/>
      <c r="L33" s="126"/>
      <c r="M33" s="124"/>
      <c r="N33" s="124">
        <f>ROUND(F33*2.5%,0)</f>
        <v>209</v>
      </c>
      <c r="O33" s="135"/>
      <c r="P33" s="124">
        <f t="shared" si="1"/>
        <v>8151</v>
      </c>
      <c r="Q33" s="128">
        <f t="shared" si="2"/>
        <v>209</v>
      </c>
      <c r="R33" s="127"/>
    </row>
    <row r="34" spans="1:18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93" t="s">
        <v>169</v>
      </c>
      <c r="F34" s="103">
        <v>16200</v>
      </c>
      <c r="G34" s="108" t="s">
        <v>93</v>
      </c>
      <c r="H34" s="107"/>
      <c r="I34" s="107"/>
      <c r="J34" s="107"/>
      <c r="K34" s="107"/>
      <c r="L34" s="109"/>
      <c r="M34" s="103"/>
      <c r="N34" s="103">
        <v>375</v>
      </c>
      <c r="O34" s="98"/>
      <c r="P34" s="103">
        <f t="shared" si="1"/>
        <v>15825</v>
      </c>
      <c r="Q34" s="116">
        <v>375</v>
      </c>
      <c r="R34" s="100"/>
    </row>
    <row r="35" spans="1:18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98" t="s">
        <v>168</v>
      </c>
      <c r="F35" s="124">
        <f>H35*I35</f>
        <v>7260</v>
      </c>
      <c r="G35" s="125" t="s">
        <v>96</v>
      </c>
      <c r="H35" s="123">
        <v>330</v>
      </c>
      <c r="I35" s="123">
        <v>22</v>
      </c>
      <c r="J35" s="123"/>
      <c r="K35" s="123"/>
      <c r="L35" s="126"/>
      <c r="M35" s="124"/>
      <c r="N35" s="124">
        <f t="shared" si="0"/>
        <v>182</v>
      </c>
      <c r="O35" s="135"/>
      <c r="P35" s="124">
        <f t="shared" si="1"/>
        <v>7078</v>
      </c>
      <c r="Q35" s="128">
        <f t="shared" si="2"/>
        <v>182</v>
      </c>
      <c r="R35" s="127"/>
    </row>
    <row r="36" spans="1:18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98" t="s">
        <v>168</v>
      </c>
      <c r="F36" s="124">
        <f t="shared" ref="F36:F42" si="3">H36*I36</f>
        <v>7920</v>
      </c>
      <c r="G36" s="125" t="s">
        <v>96</v>
      </c>
      <c r="H36" s="123">
        <v>330</v>
      </c>
      <c r="I36" s="123">
        <v>24</v>
      </c>
      <c r="J36" s="123"/>
      <c r="K36" s="123"/>
      <c r="L36" s="126"/>
      <c r="M36" s="124"/>
      <c r="N36" s="124">
        <f t="shared" si="0"/>
        <v>198</v>
      </c>
      <c r="O36" s="135"/>
      <c r="P36" s="124">
        <f t="shared" si="1"/>
        <v>7722</v>
      </c>
      <c r="Q36" s="128">
        <f t="shared" si="2"/>
        <v>198</v>
      </c>
      <c r="R36" s="127"/>
    </row>
    <row r="37" spans="1:18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98" t="s">
        <v>168</v>
      </c>
      <c r="F37" s="124">
        <f t="shared" si="3"/>
        <v>7920</v>
      </c>
      <c r="G37" s="125" t="s">
        <v>96</v>
      </c>
      <c r="H37" s="123">
        <v>330</v>
      </c>
      <c r="I37" s="123">
        <v>24</v>
      </c>
      <c r="J37" s="123"/>
      <c r="K37" s="123"/>
      <c r="L37" s="126"/>
      <c r="M37" s="124"/>
      <c r="N37" s="124">
        <f t="shared" si="0"/>
        <v>198</v>
      </c>
      <c r="O37" s="135"/>
      <c r="P37" s="124">
        <f t="shared" si="1"/>
        <v>7722</v>
      </c>
      <c r="Q37" s="128">
        <f t="shared" si="2"/>
        <v>198</v>
      </c>
      <c r="R37" s="124"/>
    </row>
    <row r="38" spans="1:18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98" t="s">
        <v>168</v>
      </c>
      <c r="F38" s="124">
        <f t="shared" si="3"/>
        <v>7260</v>
      </c>
      <c r="G38" s="125" t="s">
        <v>96</v>
      </c>
      <c r="H38" s="123">
        <v>330</v>
      </c>
      <c r="I38" s="123">
        <v>22</v>
      </c>
      <c r="J38" s="123"/>
      <c r="K38" s="123"/>
      <c r="L38" s="126"/>
      <c r="M38" s="124"/>
      <c r="N38" s="124">
        <f t="shared" si="0"/>
        <v>182</v>
      </c>
      <c r="O38" s="135"/>
      <c r="P38" s="124">
        <f t="shared" si="1"/>
        <v>7078</v>
      </c>
      <c r="Q38" s="128">
        <f t="shared" si="2"/>
        <v>182</v>
      </c>
      <c r="R38" s="124"/>
    </row>
    <row r="39" spans="1:18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98" t="s">
        <v>168</v>
      </c>
      <c r="F39" s="124">
        <f t="shared" si="3"/>
        <v>9600</v>
      </c>
      <c r="G39" s="133" t="s">
        <v>107</v>
      </c>
      <c r="H39" s="132">
        <v>400</v>
      </c>
      <c r="I39" s="132">
        <v>24</v>
      </c>
      <c r="J39" s="132"/>
      <c r="K39" s="132"/>
      <c r="L39" s="134"/>
      <c r="M39" s="135"/>
      <c r="N39" s="124">
        <f t="shared" si="0"/>
        <v>240</v>
      </c>
      <c r="O39" s="135"/>
      <c r="P39" s="124">
        <f t="shared" si="1"/>
        <v>9360</v>
      </c>
      <c r="Q39" s="128">
        <f t="shared" si="2"/>
        <v>240</v>
      </c>
      <c r="R39" s="124"/>
    </row>
    <row r="40" spans="1:18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98" t="s">
        <v>168</v>
      </c>
      <c r="F40" s="124">
        <f t="shared" si="3"/>
        <v>7920</v>
      </c>
      <c r="G40" s="133" t="s">
        <v>111</v>
      </c>
      <c r="H40" s="132">
        <v>330</v>
      </c>
      <c r="I40" s="132">
        <v>24</v>
      </c>
      <c r="J40" s="132"/>
      <c r="K40" s="132"/>
      <c r="L40" s="134"/>
      <c r="M40" s="135"/>
      <c r="N40" s="124">
        <f t="shared" si="0"/>
        <v>198</v>
      </c>
      <c r="O40" s="135"/>
      <c r="P40" s="124">
        <f t="shared" si="1"/>
        <v>7722</v>
      </c>
      <c r="Q40" s="128">
        <f t="shared" si="2"/>
        <v>198</v>
      </c>
      <c r="R40" s="124"/>
    </row>
    <row r="41" spans="1:18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98" t="s">
        <v>168</v>
      </c>
      <c r="F41" s="124">
        <f t="shared" si="3"/>
        <v>7920</v>
      </c>
      <c r="G41" s="133" t="s">
        <v>111</v>
      </c>
      <c r="H41" s="132">
        <v>330</v>
      </c>
      <c r="I41" s="132">
        <v>24</v>
      </c>
      <c r="J41" s="132"/>
      <c r="K41" s="132"/>
      <c r="L41" s="134"/>
      <c r="M41" s="135"/>
      <c r="N41" s="124">
        <f t="shared" si="0"/>
        <v>198</v>
      </c>
      <c r="O41" s="135"/>
      <c r="P41" s="124">
        <f t="shared" si="1"/>
        <v>7722</v>
      </c>
      <c r="Q41" s="128">
        <f t="shared" si="2"/>
        <v>198</v>
      </c>
      <c r="R41" s="124"/>
    </row>
    <row r="42" spans="1:18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98" t="s">
        <v>168</v>
      </c>
      <c r="F42" s="124">
        <f t="shared" si="3"/>
        <v>7920</v>
      </c>
      <c r="G42" s="133" t="s">
        <v>111</v>
      </c>
      <c r="H42" s="132">
        <v>330</v>
      </c>
      <c r="I42" s="132">
        <v>24</v>
      </c>
      <c r="J42" s="132"/>
      <c r="K42" s="132"/>
      <c r="L42" s="134"/>
      <c r="M42" s="135"/>
      <c r="N42" s="124">
        <f t="shared" si="0"/>
        <v>198</v>
      </c>
      <c r="O42" s="135"/>
      <c r="P42" s="124">
        <f t="shared" si="1"/>
        <v>7722</v>
      </c>
      <c r="Q42" s="128">
        <f t="shared" si="2"/>
        <v>198</v>
      </c>
      <c r="R42" s="132"/>
    </row>
    <row r="43" spans="1:18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98" t="s">
        <v>168</v>
      </c>
      <c r="F43" s="103">
        <v>25000</v>
      </c>
      <c r="G43" s="112" t="s">
        <v>101</v>
      </c>
      <c r="H43" s="107"/>
      <c r="I43" s="107"/>
      <c r="J43" s="107"/>
      <c r="K43" s="107"/>
      <c r="L43" s="109"/>
      <c r="M43" s="103"/>
      <c r="N43" s="103">
        <v>375</v>
      </c>
      <c r="O43" s="98"/>
      <c r="P43" s="103">
        <f t="shared" si="1"/>
        <v>24625</v>
      </c>
      <c r="Q43" s="116">
        <v>375</v>
      </c>
      <c r="R43" s="100"/>
    </row>
    <row r="44" spans="1:18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98" t="s">
        <v>168</v>
      </c>
      <c r="F44" s="124">
        <f>+H44*I44</f>
        <v>7920</v>
      </c>
      <c r="G44" s="138" t="s">
        <v>106</v>
      </c>
      <c r="H44" s="123">
        <v>330</v>
      </c>
      <c r="I44" s="123">
        <v>24</v>
      </c>
      <c r="J44" s="123"/>
      <c r="K44" s="123"/>
      <c r="L44" s="126"/>
      <c r="M44" s="124"/>
      <c r="N44" s="124">
        <f t="shared" si="0"/>
        <v>198</v>
      </c>
      <c r="O44" s="135"/>
      <c r="P44" s="124">
        <f t="shared" si="1"/>
        <v>7722</v>
      </c>
      <c r="Q44" s="128">
        <f t="shared" si="2"/>
        <v>198</v>
      </c>
      <c r="R44" s="139"/>
    </row>
    <row r="45" spans="1:18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261" t="s">
        <v>169</v>
      </c>
      <c r="F45" s="98">
        <v>12000</v>
      </c>
      <c r="G45" s="99" t="s">
        <v>115</v>
      </c>
      <c r="H45" s="100"/>
      <c r="I45" s="100"/>
      <c r="J45" s="100"/>
      <c r="K45" s="100"/>
      <c r="L45" s="101"/>
      <c r="M45" s="102"/>
      <c r="N45" s="103">
        <f t="shared" si="0"/>
        <v>300</v>
      </c>
      <c r="O45" s="98"/>
      <c r="P45" s="103">
        <f t="shared" si="1"/>
        <v>11700</v>
      </c>
      <c r="Q45" s="116">
        <f t="shared" si="2"/>
        <v>300</v>
      </c>
      <c r="R45" s="100"/>
    </row>
    <row r="46" spans="1:18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248" t="s">
        <v>168</v>
      </c>
      <c r="F46" s="98">
        <v>15000</v>
      </c>
      <c r="G46" s="99" t="s">
        <v>119</v>
      </c>
      <c r="H46" s="95"/>
      <c r="I46" s="95"/>
      <c r="J46" s="95"/>
      <c r="K46" s="95"/>
      <c r="L46" s="115"/>
      <c r="M46" s="98"/>
      <c r="N46" s="103">
        <f t="shared" si="0"/>
        <v>375</v>
      </c>
      <c r="O46" s="98"/>
      <c r="P46" s="103">
        <f t="shared" si="1"/>
        <v>14625</v>
      </c>
      <c r="Q46" s="116">
        <f t="shared" si="2"/>
        <v>375</v>
      </c>
      <c r="R46" s="95"/>
    </row>
    <row r="47" spans="1:18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248" t="s">
        <v>168</v>
      </c>
      <c r="F47" s="98">
        <v>15000</v>
      </c>
      <c r="G47" s="99" t="s">
        <v>119</v>
      </c>
      <c r="H47" s="95"/>
      <c r="I47" s="95"/>
      <c r="J47" s="95"/>
      <c r="K47" s="95"/>
      <c r="L47" s="115"/>
      <c r="M47" s="98"/>
      <c r="N47" s="103">
        <f t="shared" si="0"/>
        <v>375</v>
      </c>
      <c r="O47" s="98"/>
      <c r="P47" s="103">
        <f t="shared" si="1"/>
        <v>14625</v>
      </c>
      <c r="Q47" s="116">
        <f t="shared" si="2"/>
        <v>375</v>
      </c>
      <c r="R47" s="95"/>
    </row>
    <row r="48" spans="1:18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248" t="s">
        <v>168</v>
      </c>
      <c r="F48" s="98">
        <v>15000</v>
      </c>
      <c r="G48" s="99" t="s">
        <v>119</v>
      </c>
      <c r="H48" s="95"/>
      <c r="I48" s="95"/>
      <c r="J48" s="95"/>
      <c r="K48" s="95"/>
      <c r="L48" s="115"/>
      <c r="M48" s="98"/>
      <c r="N48" s="103">
        <f t="shared" si="0"/>
        <v>375</v>
      </c>
      <c r="O48" s="98"/>
      <c r="P48" s="103">
        <f t="shared" si="1"/>
        <v>14625</v>
      </c>
      <c r="Q48" s="116">
        <f t="shared" si="2"/>
        <v>375</v>
      </c>
      <c r="R48" s="95"/>
    </row>
    <row r="49" spans="1:18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261" t="s">
        <v>169</v>
      </c>
      <c r="F49" s="98">
        <v>15000</v>
      </c>
      <c r="G49" s="99" t="s">
        <v>119</v>
      </c>
      <c r="H49" s="95"/>
      <c r="I49" s="95"/>
      <c r="J49" s="95"/>
      <c r="K49" s="95"/>
      <c r="L49" s="115"/>
      <c r="M49" s="98"/>
      <c r="N49" s="103">
        <f t="shared" si="0"/>
        <v>375</v>
      </c>
      <c r="O49" s="98"/>
      <c r="P49" s="103">
        <f t="shared" si="1"/>
        <v>14625</v>
      </c>
      <c r="Q49" s="116">
        <f t="shared" si="2"/>
        <v>375</v>
      </c>
      <c r="R49" s="95"/>
    </row>
    <row r="50" spans="1:18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 t="s">
        <v>168</v>
      </c>
      <c r="F50" s="128">
        <f>H50*I50</f>
        <v>7700</v>
      </c>
      <c r="G50" s="144" t="s">
        <v>139</v>
      </c>
      <c r="H50" s="143">
        <v>350</v>
      </c>
      <c r="I50" s="143">
        <v>22</v>
      </c>
      <c r="J50" s="143"/>
      <c r="K50" s="143"/>
      <c r="L50" s="145"/>
      <c r="M50" s="128"/>
      <c r="N50" s="124">
        <f t="shared" si="0"/>
        <v>193</v>
      </c>
      <c r="O50" s="128"/>
      <c r="P50" s="124">
        <f t="shared" si="1"/>
        <v>7507</v>
      </c>
      <c r="Q50" s="128">
        <f t="shared" si="2"/>
        <v>193</v>
      </c>
      <c r="R50" s="146"/>
    </row>
    <row r="51" spans="1:18" s="105" customFormat="1">
      <c r="A51" s="117">
        <v>45</v>
      </c>
      <c r="B51" s="180" t="s">
        <v>163</v>
      </c>
      <c r="C51" s="181">
        <v>6016100144033</v>
      </c>
      <c r="D51" s="182" t="s">
        <v>32</v>
      </c>
      <c r="E51" s="256" t="s">
        <v>169</v>
      </c>
      <c r="F51" s="116">
        <v>23000</v>
      </c>
      <c r="G51" s="99" t="s">
        <v>164</v>
      </c>
      <c r="H51" s="95"/>
      <c r="I51" s="95"/>
      <c r="J51" s="183"/>
      <c r="K51" s="183"/>
      <c r="L51" s="184"/>
      <c r="M51" s="185"/>
      <c r="N51" s="103">
        <v>375</v>
      </c>
      <c r="O51" s="116"/>
      <c r="P51" s="103">
        <f t="shared" si="1"/>
        <v>22625</v>
      </c>
      <c r="Q51" s="116">
        <v>375</v>
      </c>
      <c r="R51" s="186" t="s">
        <v>182</v>
      </c>
    </row>
    <row r="52" spans="1:18" s="86" customFormat="1" ht="22.5" thickBot="1">
      <c r="A52" s="402" t="s">
        <v>103</v>
      </c>
      <c r="B52" s="402"/>
      <c r="C52" s="402"/>
      <c r="D52" s="402"/>
      <c r="E52" s="302"/>
      <c r="F52" s="89">
        <f>SUM(F7:F51)</f>
        <v>745720</v>
      </c>
      <c r="G52" s="87"/>
      <c r="H52" s="87"/>
      <c r="I52" s="87"/>
      <c r="J52" s="87"/>
      <c r="K52" s="87"/>
      <c r="L52" s="87"/>
      <c r="M52" s="87"/>
      <c r="N52" s="89">
        <f>SUM(N7:N51)</f>
        <v>14470</v>
      </c>
      <c r="O52" s="89">
        <f t="shared" ref="O52:Q52" si="4">SUM(O7:O51)</f>
        <v>2832</v>
      </c>
      <c r="P52" s="89">
        <f t="shared" si="4"/>
        <v>728418</v>
      </c>
      <c r="Q52" s="89">
        <f t="shared" si="4"/>
        <v>14470</v>
      </c>
      <c r="R52" s="88"/>
    </row>
    <row r="53" spans="1:18" ht="23.25" thickTop="1" thickBot="1">
      <c r="A53" s="119"/>
      <c r="B53" s="3"/>
      <c r="C53" s="3"/>
      <c r="D53" s="3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44.25" thickBot="1">
      <c r="A54" s="119"/>
      <c r="B54" s="50" t="s">
        <v>12</v>
      </c>
      <c r="C54" s="3"/>
      <c r="D54" s="3"/>
      <c r="E54" s="3"/>
      <c r="F54" s="39"/>
      <c r="G54" s="156" t="s">
        <v>145</v>
      </c>
      <c r="H54" s="39"/>
      <c r="I54" s="39"/>
      <c r="J54" s="39"/>
      <c r="K54" s="39"/>
      <c r="L54" s="39"/>
      <c r="M54" s="28" t="s">
        <v>158</v>
      </c>
      <c r="N54" s="153" t="s">
        <v>159</v>
      </c>
      <c r="O54" s="164" t="s">
        <v>150</v>
      </c>
      <c r="P54" s="153" t="s">
        <v>11</v>
      </c>
      <c r="R54" s="5"/>
    </row>
    <row r="55" spans="1:18">
      <c r="A55" s="119"/>
      <c r="B55" s="52" t="s">
        <v>156</v>
      </c>
      <c r="C55" s="149">
        <v>0</v>
      </c>
      <c r="D55" s="54" t="s">
        <v>142</v>
      </c>
      <c r="E55" s="54"/>
      <c r="F55" s="55" t="s">
        <v>140</v>
      </c>
      <c r="G55" s="170" t="s">
        <v>141</v>
      </c>
      <c r="H55" s="170">
        <v>13</v>
      </c>
      <c r="I55" s="171" t="s">
        <v>142</v>
      </c>
      <c r="J55" s="148"/>
      <c r="K55" s="148"/>
      <c r="M55" s="16">
        <f>+F27+F28+F33+F35+F36+F37+F38+F39+F40+F41+F42+F44+F50</f>
        <v>105220</v>
      </c>
      <c r="N55" s="16">
        <f>+N27+N28+N33+N35+N36+N37+N38+N39+N40+N41+N42+N44+N50</f>
        <v>2632</v>
      </c>
      <c r="O55" s="24">
        <v>0</v>
      </c>
      <c r="P55" s="175">
        <f>+P27+P28+P33+P35+P36+P37+P38+P39+P40+P41+P42+P44+P50</f>
        <v>102588</v>
      </c>
      <c r="R55" s="5"/>
    </row>
    <row r="56" spans="1:18">
      <c r="A56" s="119"/>
      <c r="B56" s="56" t="s">
        <v>137</v>
      </c>
      <c r="C56" s="150">
        <v>0</v>
      </c>
      <c r="D56" s="6" t="s">
        <v>142</v>
      </c>
      <c r="E56" s="6"/>
      <c r="F56" s="190" t="s">
        <v>162</v>
      </c>
      <c r="G56" s="173" t="s">
        <v>144</v>
      </c>
      <c r="H56" s="173">
        <v>32</v>
      </c>
      <c r="I56" s="174" t="s">
        <v>142</v>
      </c>
      <c r="J56" s="148"/>
      <c r="K56" s="148"/>
      <c r="M56" s="16">
        <f>+F7+F8+F9+F10+F11+F12+F13+F14+F15+F16+F17+F18+F19+F20+F21+F22+F23+F24+F25+F26+F29+F30+F31+F32+F34+F43+F45+F46+F47+F48+F49</f>
        <v>617500</v>
      </c>
      <c r="N56" s="16">
        <f>+N7+N8+N9+N10+N11+N12+N13+N14+N15+N16+N17+N18+N19+N20+N21+N22+N23+N24+N25+N26+N29+N30+N31+N32+N34+N43+N45+N46+N47+N48+N49+N51</f>
        <v>11838</v>
      </c>
      <c r="O56" s="24">
        <f>+O10+O13+O14</f>
        <v>2832</v>
      </c>
      <c r="P56" s="16">
        <f>+P7+P8+P9+P10+P11+P12+P13+P14+P15+P16+P17+P18+P19+P20+P21+P22+P23+P24+P25+P26+P29+P30+P31+P32+P34+P43+P45+P46+P47+P48+P49+P51</f>
        <v>625830</v>
      </c>
      <c r="R56" s="5"/>
    </row>
    <row r="57" spans="1:18" ht="22.5" thickBot="1">
      <c r="A57" s="119"/>
      <c r="B57" s="419"/>
      <c r="C57" s="420"/>
      <c r="D57" s="187"/>
      <c r="E57" s="187"/>
      <c r="F57" s="188"/>
      <c r="G57" s="189" t="s">
        <v>147</v>
      </c>
      <c r="H57" s="69">
        <f>SUM(H55:H56)</f>
        <v>45</v>
      </c>
      <c r="I57" s="155" t="s">
        <v>142</v>
      </c>
      <c r="J57" s="154"/>
      <c r="K57" s="154"/>
      <c r="M57" s="176">
        <f>SUM(M55:M56)</f>
        <v>722720</v>
      </c>
      <c r="N57" s="176">
        <f>SUM(N55:N56)</f>
        <v>14470</v>
      </c>
      <c r="O57" s="177">
        <f>SUM(O55:O56)</f>
        <v>2832</v>
      </c>
      <c r="P57" s="176">
        <f>SUM(P55:P56)</f>
        <v>728418</v>
      </c>
    </row>
    <row r="59" spans="1:18" ht="43.5">
      <c r="B59" s="11" t="s">
        <v>167</v>
      </c>
      <c r="C59" s="11" t="s">
        <v>158</v>
      </c>
      <c r="D59" s="234" t="s">
        <v>180</v>
      </c>
      <c r="E59" s="234" t="s">
        <v>181</v>
      </c>
      <c r="F59" s="91" t="s">
        <v>150</v>
      </c>
      <c r="G59" s="234" t="s">
        <v>172</v>
      </c>
    </row>
    <row r="60" spans="1:18">
      <c r="B60" s="199" t="s">
        <v>178</v>
      </c>
      <c r="C60" s="197">
        <f>+F7+F12+F15+F16+F17+F18+F19+F22+F23+F24+F25+F26+F27+F28+F29+F32+F33+F35+F36+F37+F38+F39+F40+F41+F42+F43+F44+F46+F47+F48+F50</f>
        <v>493820</v>
      </c>
      <c r="D60" s="197">
        <f>+Q7+Q12+Q15+Q16+Q17+Q18+Q19+Q22+Q23+Q24+Q25+Q26+Q27+Q28+Q29+Q32+Q33+Q35+Q36+Q37+Q38+Q39+Q40+Q41+Q42+Q43+Q44+Q46+Q47+Q50+Q48</f>
        <v>9372</v>
      </c>
      <c r="E60" s="197">
        <f>+N7+N12+N15+N16+N17+N18+N19+N22+N23+N24+N26+N27+N28+N29+N32+N25+N33+N35+N36+N37+N38+N39+N40+N41+N42+N43+N44+N46+N47+N48+N50</f>
        <v>9372</v>
      </c>
      <c r="F60" s="197">
        <v>0</v>
      </c>
      <c r="G60" s="197">
        <f>+D60+E60</f>
        <v>18744</v>
      </c>
    </row>
    <row r="61" spans="1:18">
      <c r="B61" s="191" t="s">
        <v>179</v>
      </c>
      <c r="C61" s="204">
        <f>+F8+F9+F10+F11+F13+F14+F20+F21+F30+F31+F34+F45+F49+F51</f>
        <v>251900</v>
      </c>
      <c r="D61" s="204">
        <f>+Q8+Q9+Q10+Q11+Q13+Q14+Q20+Q21+Q30+Q31+Q34+Q45+Q49+Q51</f>
        <v>5098</v>
      </c>
      <c r="E61" s="204">
        <f>+N8+N9+N10+N11+N13+N14+N20+N21+N30+N31+N34+N45+N49+N51</f>
        <v>5098</v>
      </c>
      <c r="F61" s="204">
        <f>+O10+O13+O14</f>
        <v>2832</v>
      </c>
      <c r="G61" s="204">
        <f>+D61+E61</f>
        <v>10196</v>
      </c>
    </row>
    <row r="62" spans="1:18" ht="24">
      <c r="B62" s="195" t="s">
        <v>147</v>
      </c>
      <c r="C62" s="233">
        <f>SUM(C60:C61)</f>
        <v>745720</v>
      </c>
      <c r="D62" s="233">
        <f>SUM(D60:D61)</f>
        <v>14470</v>
      </c>
      <c r="E62" s="233">
        <f>SUM(E60:E61)</f>
        <v>14470</v>
      </c>
      <c r="F62" s="233">
        <f>SUM(F60:F61)</f>
        <v>2832</v>
      </c>
      <c r="G62" s="233">
        <f>SUM(G60:G61)</f>
        <v>28940</v>
      </c>
    </row>
  </sheetData>
  <mergeCells count="18">
    <mergeCell ref="Q5:Q6"/>
    <mergeCell ref="R5:R6"/>
    <mergeCell ref="A52:D52"/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B57:C57"/>
    <mergeCell ref="E5:E6"/>
    <mergeCell ref="J5:K5"/>
    <mergeCell ref="L5:O5"/>
    <mergeCell ref="P5:P6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61" orientation="landscape" horizontalDpi="4294967293" r:id="rId1"/>
  <rowBreaks count="1" manualBreakCount="1">
    <brk id="2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E252-8F02-48DF-845B-B5D93E5EBE5C}">
  <dimension ref="A1:Q57"/>
  <sheetViews>
    <sheetView view="pageBreakPreview" zoomScale="90" zoomScaleNormal="90" zoomScaleSheetLayoutView="90" workbookViewId="0">
      <pane xSplit="5" ySplit="6" topLeftCell="F28" activePane="bottomRight" state="frozen"/>
      <selection pane="topRight" activeCell="G1" sqref="G1"/>
      <selection pane="bottomLeft" activeCell="A7" sqref="A7"/>
      <selection pane="bottomRight" activeCell="P68" sqref="P68"/>
    </sheetView>
  </sheetViews>
  <sheetFormatPr defaultColWidth="9" defaultRowHeight="21.75"/>
  <cols>
    <col min="1" max="1" width="9" style="120"/>
    <col min="2" max="3" width="22.7109375" style="1" customWidth="1"/>
    <col min="4" max="4" width="17.5703125" style="1" customWidth="1"/>
    <col min="5" max="5" width="12.28515625" style="1" bestFit="1" customWidth="1"/>
    <col min="6" max="6" width="14.7109375" style="1" bestFit="1" customWidth="1"/>
    <col min="7" max="7" width="5" style="1" bestFit="1" customWidth="1"/>
    <col min="8" max="8" width="7.5703125" style="1" bestFit="1" customWidth="1"/>
    <col min="9" max="9" width="3.7109375" style="1" hidden="1" customWidth="1"/>
    <col min="10" max="10" width="7" style="1" hidden="1" customWidth="1"/>
    <col min="11" max="11" width="6.7109375" style="1" hidden="1" customWidth="1"/>
    <col min="12" max="12" width="10" style="1" hidden="1" customWidth="1"/>
    <col min="13" max="13" width="14.140625" style="1" bestFit="1" customWidth="1"/>
    <col min="14" max="14" width="11.85546875" style="168" bestFit="1" customWidth="1"/>
    <col min="15" max="15" width="14.42578125" style="1" bestFit="1" customWidth="1"/>
    <col min="16" max="16" width="12.42578125" style="76" bestFit="1" customWidth="1"/>
    <col min="17" max="17" width="26.85546875" style="1" bestFit="1" customWidth="1"/>
    <col min="18" max="16384" width="9" style="1"/>
  </cols>
  <sheetData>
    <row r="1" spans="1:17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>
      <c r="A3" s="381" t="s">
        <v>183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22.5" thickBot="1">
      <c r="A4" s="118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163"/>
      <c r="O4" s="9"/>
      <c r="Q4" s="9"/>
    </row>
    <row r="5" spans="1:17">
      <c r="A5" s="414" t="s">
        <v>2</v>
      </c>
      <c r="B5" s="382" t="s">
        <v>3</v>
      </c>
      <c r="C5" s="384" t="s">
        <v>4</v>
      </c>
      <c r="D5" s="382" t="s">
        <v>5</v>
      </c>
      <c r="E5" s="386" t="s">
        <v>6</v>
      </c>
      <c r="F5" s="388" t="s">
        <v>7</v>
      </c>
      <c r="G5" s="390" t="s">
        <v>8</v>
      </c>
      <c r="H5" s="391"/>
      <c r="I5" s="392" t="s">
        <v>9</v>
      </c>
      <c r="J5" s="393"/>
      <c r="K5" s="411" t="s">
        <v>10</v>
      </c>
      <c r="L5" s="412"/>
      <c r="M5" s="412"/>
      <c r="N5" s="413"/>
      <c r="O5" s="395" t="s">
        <v>11</v>
      </c>
      <c r="P5" s="421" t="s">
        <v>161</v>
      </c>
      <c r="Q5" s="376" t="s">
        <v>12</v>
      </c>
    </row>
    <row r="6" spans="1:17" ht="44.25" thickBot="1">
      <c r="A6" s="415"/>
      <c r="B6" s="383"/>
      <c r="C6" s="385"/>
      <c r="D6" s="383"/>
      <c r="E6" s="387"/>
      <c r="F6" s="389"/>
      <c r="G6" s="11" t="s">
        <v>13</v>
      </c>
      <c r="H6" s="11" t="s">
        <v>14</v>
      </c>
      <c r="I6" s="12" t="s">
        <v>15</v>
      </c>
      <c r="J6" s="12" t="s">
        <v>16</v>
      </c>
      <c r="K6" s="11" t="s">
        <v>17</v>
      </c>
      <c r="L6" s="11" t="s">
        <v>18</v>
      </c>
      <c r="M6" s="153" t="s">
        <v>160</v>
      </c>
      <c r="N6" s="164" t="s">
        <v>150</v>
      </c>
      <c r="O6" s="396"/>
      <c r="P6" s="421"/>
      <c r="Q6" s="377"/>
    </row>
    <row r="7" spans="1:17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03">
        <v>14600</v>
      </c>
      <c r="F7" s="107"/>
      <c r="G7" s="107"/>
      <c r="H7" s="107"/>
      <c r="I7" s="107"/>
      <c r="J7" s="107"/>
      <c r="K7" s="109"/>
      <c r="L7" s="103"/>
      <c r="M7" s="103">
        <f>ROUND(E7*2.5%,0)</f>
        <v>365</v>
      </c>
      <c r="N7" s="98"/>
      <c r="O7" s="103">
        <f>SUM(E7-M7-N7)</f>
        <v>14235</v>
      </c>
      <c r="P7" s="116">
        <f>ROUND(E7*2.5%,0)</f>
        <v>365</v>
      </c>
      <c r="Q7" s="152"/>
    </row>
    <row r="8" spans="1:17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03">
        <v>13500</v>
      </c>
      <c r="F8" s="107"/>
      <c r="G8" s="107"/>
      <c r="H8" s="107"/>
      <c r="I8" s="107"/>
      <c r="J8" s="107"/>
      <c r="K8" s="109"/>
      <c r="L8" s="103"/>
      <c r="M8" s="103">
        <f t="shared" ref="M8:M50" si="0">ROUND(E8*2.5%,0)</f>
        <v>338</v>
      </c>
      <c r="N8" s="98"/>
      <c r="O8" s="103">
        <f t="shared" ref="O8:O51" si="1">SUM(E8-M8-N8)</f>
        <v>13162</v>
      </c>
      <c r="P8" s="116">
        <f t="shared" ref="P8:P50" si="2">ROUND(E8*2.5%,0)</f>
        <v>338</v>
      </c>
      <c r="Q8" s="100"/>
    </row>
    <row r="9" spans="1:17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03">
        <v>13400</v>
      </c>
      <c r="F9" s="107"/>
      <c r="G9" s="107"/>
      <c r="H9" s="107"/>
      <c r="I9" s="107"/>
      <c r="J9" s="107"/>
      <c r="K9" s="109"/>
      <c r="L9" s="103"/>
      <c r="M9" s="103">
        <f t="shared" si="0"/>
        <v>335</v>
      </c>
      <c r="N9" s="98"/>
      <c r="O9" s="103">
        <f t="shared" si="1"/>
        <v>13065</v>
      </c>
      <c r="P9" s="116">
        <f t="shared" si="2"/>
        <v>335</v>
      </c>
      <c r="Q9" s="100"/>
    </row>
    <row r="10" spans="1:17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03">
        <v>16500</v>
      </c>
      <c r="F10" s="107"/>
      <c r="G10" s="107"/>
      <c r="H10" s="107"/>
      <c r="I10" s="107"/>
      <c r="J10" s="107"/>
      <c r="K10" s="109"/>
      <c r="L10" s="103"/>
      <c r="M10" s="103">
        <v>375</v>
      </c>
      <c r="N10" s="98">
        <v>651</v>
      </c>
      <c r="O10" s="103">
        <f t="shared" si="1"/>
        <v>15474</v>
      </c>
      <c r="P10" s="116">
        <v>375</v>
      </c>
      <c r="Q10" s="100"/>
    </row>
    <row r="11" spans="1:17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03">
        <v>17300</v>
      </c>
      <c r="F11" s="107"/>
      <c r="G11" s="107"/>
      <c r="H11" s="107"/>
      <c r="I11" s="107"/>
      <c r="J11" s="107"/>
      <c r="K11" s="109"/>
      <c r="L11" s="103"/>
      <c r="M11" s="103">
        <v>375</v>
      </c>
      <c r="N11" s="98"/>
      <c r="O11" s="103">
        <f t="shared" si="1"/>
        <v>16925</v>
      </c>
      <c r="P11" s="116">
        <v>375</v>
      </c>
      <c r="Q11" s="100"/>
    </row>
    <row r="12" spans="1:17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03">
        <v>19000</v>
      </c>
      <c r="F12" s="107"/>
      <c r="G12" s="107"/>
      <c r="H12" s="107"/>
      <c r="I12" s="107"/>
      <c r="J12" s="107"/>
      <c r="K12" s="109"/>
      <c r="L12" s="103"/>
      <c r="M12" s="103">
        <v>375</v>
      </c>
      <c r="N12" s="98"/>
      <c r="O12" s="103">
        <f t="shared" si="1"/>
        <v>18625</v>
      </c>
      <c r="P12" s="116">
        <v>375</v>
      </c>
      <c r="Q12" s="100"/>
    </row>
    <row r="13" spans="1:17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03">
        <v>25000</v>
      </c>
      <c r="F13" s="107"/>
      <c r="G13" s="107"/>
      <c r="H13" s="107"/>
      <c r="I13" s="107"/>
      <c r="J13" s="107"/>
      <c r="K13" s="109"/>
      <c r="L13" s="103"/>
      <c r="M13" s="103">
        <v>375</v>
      </c>
      <c r="N13" s="98">
        <v>1476</v>
      </c>
      <c r="O13" s="103">
        <f t="shared" si="1"/>
        <v>23149</v>
      </c>
      <c r="P13" s="116">
        <v>375</v>
      </c>
      <c r="Q13" s="100"/>
    </row>
    <row r="14" spans="1:17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03">
        <v>20500</v>
      </c>
      <c r="F14" s="107"/>
      <c r="G14" s="107"/>
      <c r="H14" s="107"/>
      <c r="I14" s="107"/>
      <c r="J14" s="107"/>
      <c r="K14" s="109"/>
      <c r="L14" s="103"/>
      <c r="M14" s="103">
        <v>375</v>
      </c>
      <c r="N14" s="98">
        <v>705</v>
      </c>
      <c r="O14" s="103">
        <f t="shared" si="1"/>
        <v>19420</v>
      </c>
      <c r="P14" s="116">
        <v>375</v>
      </c>
      <c r="Q14" s="100"/>
    </row>
    <row r="15" spans="1:17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03">
        <v>25000</v>
      </c>
      <c r="F15" s="107"/>
      <c r="G15" s="107"/>
      <c r="H15" s="107"/>
      <c r="I15" s="107"/>
      <c r="J15" s="107"/>
      <c r="K15" s="109"/>
      <c r="L15" s="103"/>
      <c r="M15" s="103">
        <v>375</v>
      </c>
      <c r="N15" s="98"/>
      <c r="O15" s="103">
        <f t="shared" si="1"/>
        <v>24625</v>
      </c>
      <c r="P15" s="116">
        <v>375</v>
      </c>
      <c r="Q15" s="100"/>
    </row>
    <row r="16" spans="1:17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03">
        <v>19700</v>
      </c>
      <c r="F16" s="107"/>
      <c r="G16" s="107"/>
      <c r="H16" s="107"/>
      <c r="I16" s="107"/>
      <c r="J16" s="107"/>
      <c r="K16" s="109"/>
      <c r="L16" s="103"/>
      <c r="M16" s="103">
        <v>375</v>
      </c>
      <c r="N16" s="98"/>
      <c r="O16" s="103">
        <f t="shared" si="1"/>
        <v>19325</v>
      </c>
      <c r="P16" s="116">
        <v>375</v>
      </c>
      <c r="Q16" s="100"/>
    </row>
    <row r="17" spans="1:17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03">
        <v>17600</v>
      </c>
      <c r="F17" s="107"/>
      <c r="G17" s="107"/>
      <c r="H17" s="107"/>
      <c r="I17" s="107"/>
      <c r="J17" s="107"/>
      <c r="K17" s="109"/>
      <c r="L17" s="103"/>
      <c r="M17" s="103">
        <v>375</v>
      </c>
      <c r="N17" s="98"/>
      <c r="O17" s="103">
        <f t="shared" si="1"/>
        <v>17225</v>
      </c>
      <c r="P17" s="116">
        <v>375</v>
      </c>
      <c r="Q17" s="100"/>
    </row>
    <row r="18" spans="1:17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03">
        <v>25000</v>
      </c>
      <c r="F18" s="107"/>
      <c r="G18" s="107"/>
      <c r="H18" s="107"/>
      <c r="I18" s="107"/>
      <c r="J18" s="107"/>
      <c r="K18" s="109"/>
      <c r="L18" s="103"/>
      <c r="M18" s="103">
        <v>375</v>
      </c>
      <c r="N18" s="98"/>
      <c r="O18" s="103">
        <f t="shared" si="1"/>
        <v>24625</v>
      </c>
      <c r="P18" s="116">
        <v>375</v>
      </c>
      <c r="Q18" s="100"/>
    </row>
    <row r="19" spans="1:17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03">
        <v>22700</v>
      </c>
      <c r="F19" s="107"/>
      <c r="G19" s="107"/>
      <c r="H19" s="107"/>
      <c r="I19" s="107"/>
      <c r="J19" s="107"/>
      <c r="K19" s="109"/>
      <c r="L19" s="103"/>
      <c r="M19" s="103">
        <v>375</v>
      </c>
      <c r="N19" s="98"/>
      <c r="O19" s="103">
        <f t="shared" si="1"/>
        <v>22325</v>
      </c>
      <c r="P19" s="116">
        <v>375</v>
      </c>
      <c r="Q19" s="100"/>
    </row>
    <row r="20" spans="1:17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03">
        <v>23500</v>
      </c>
      <c r="F20" s="107"/>
      <c r="G20" s="107"/>
      <c r="H20" s="107"/>
      <c r="I20" s="107"/>
      <c r="J20" s="107"/>
      <c r="K20" s="109"/>
      <c r="L20" s="103"/>
      <c r="M20" s="103">
        <v>375</v>
      </c>
      <c r="N20" s="98"/>
      <c r="O20" s="103">
        <f t="shared" si="1"/>
        <v>23125</v>
      </c>
      <c r="P20" s="116">
        <v>375</v>
      </c>
      <c r="Q20" s="100"/>
    </row>
    <row r="21" spans="1:17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03">
        <v>25000</v>
      </c>
      <c r="F21" s="107"/>
      <c r="G21" s="107"/>
      <c r="H21" s="107"/>
      <c r="I21" s="107"/>
      <c r="J21" s="107"/>
      <c r="K21" s="109"/>
      <c r="L21" s="103"/>
      <c r="M21" s="103">
        <v>375</v>
      </c>
      <c r="N21" s="98"/>
      <c r="O21" s="103">
        <f t="shared" si="1"/>
        <v>24625</v>
      </c>
      <c r="P21" s="116">
        <v>375</v>
      </c>
      <c r="Q21" s="100"/>
    </row>
    <row r="22" spans="1:17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03">
        <v>25000</v>
      </c>
      <c r="F22" s="107"/>
      <c r="G22" s="107"/>
      <c r="H22" s="107"/>
      <c r="I22" s="107"/>
      <c r="J22" s="107"/>
      <c r="K22" s="109"/>
      <c r="L22" s="103"/>
      <c r="M22" s="103">
        <v>375</v>
      </c>
      <c r="N22" s="98"/>
      <c r="O22" s="103">
        <f t="shared" si="1"/>
        <v>24625</v>
      </c>
      <c r="P22" s="116">
        <v>375</v>
      </c>
      <c r="Q22" s="100"/>
    </row>
    <row r="23" spans="1:17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03">
        <v>25000</v>
      </c>
      <c r="F23" s="107"/>
      <c r="G23" s="107"/>
      <c r="H23" s="107"/>
      <c r="I23" s="107"/>
      <c r="J23" s="107"/>
      <c r="K23" s="109"/>
      <c r="L23" s="103"/>
      <c r="M23" s="103">
        <v>375</v>
      </c>
      <c r="N23" s="98"/>
      <c r="O23" s="103">
        <f t="shared" si="1"/>
        <v>24625</v>
      </c>
      <c r="P23" s="116">
        <v>375</v>
      </c>
      <c r="Q23" s="100"/>
    </row>
    <row r="24" spans="1:17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03">
        <v>25000</v>
      </c>
      <c r="F24" s="107"/>
      <c r="G24" s="107"/>
      <c r="H24" s="107"/>
      <c r="I24" s="107"/>
      <c r="J24" s="107"/>
      <c r="K24" s="109"/>
      <c r="L24" s="103"/>
      <c r="M24" s="103">
        <v>375</v>
      </c>
      <c r="N24" s="98"/>
      <c r="O24" s="103">
        <f t="shared" si="1"/>
        <v>24625</v>
      </c>
      <c r="P24" s="116">
        <v>375</v>
      </c>
      <c r="Q24" s="100"/>
    </row>
    <row r="25" spans="1:17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03">
        <v>25000</v>
      </c>
      <c r="F25" s="107"/>
      <c r="G25" s="107"/>
      <c r="H25" s="107"/>
      <c r="I25" s="107"/>
      <c r="J25" s="107"/>
      <c r="K25" s="109"/>
      <c r="L25" s="103"/>
      <c r="M25" s="103">
        <v>375</v>
      </c>
      <c r="N25" s="98"/>
      <c r="O25" s="103">
        <f t="shared" si="1"/>
        <v>24625</v>
      </c>
      <c r="P25" s="116">
        <v>375</v>
      </c>
      <c r="Q25" s="100"/>
    </row>
    <row r="26" spans="1:17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03">
        <v>25000</v>
      </c>
      <c r="F26" s="107"/>
      <c r="G26" s="107"/>
      <c r="H26" s="107"/>
      <c r="I26" s="107"/>
      <c r="J26" s="107"/>
      <c r="K26" s="109"/>
      <c r="L26" s="103"/>
      <c r="M26" s="103">
        <v>375</v>
      </c>
      <c r="N26" s="98"/>
      <c r="O26" s="103">
        <f t="shared" si="1"/>
        <v>24625</v>
      </c>
      <c r="P26" s="116">
        <v>375</v>
      </c>
      <c r="Q26" s="100"/>
    </row>
    <row r="27" spans="1:17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24">
        <f>+G27*H27</f>
        <v>10400</v>
      </c>
      <c r="F27" s="123"/>
      <c r="G27" s="123">
        <v>400</v>
      </c>
      <c r="H27" s="123">
        <v>26</v>
      </c>
      <c r="I27" s="123"/>
      <c r="J27" s="123"/>
      <c r="K27" s="126"/>
      <c r="L27" s="124"/>
      <c r="M27" s="124">
        <f t="shared" si="0"/>
        <v>260</v>
      </c>
      <c r="N27" s="135"/>
      <c r="O27" s="124">
        <f t="shared" si="1"/>
        <v>10140</v>
      </c>
      <c r="P27" s="128">
        <f t="shared" si="2"/>
        <v>260</v>
      </c>
      <c r="Q27" s="124"/>
    </row>
    <row r="28" spans="1:17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24">
        <f>+G28*H28</f>
        <v>8280</v>
      </c>
      <c r="F28" s="123"/>
      <c r="G28" s="123">
        <v>360</v>
      </c>
      <c r="H28" s="123">
        <v>23</v>
      </c>
      <c r="I28" s="123"/>
      <c r="J28" s="123"/>
      <c r="K28" s="126"/>
      <c r="L28" s="124"/>
      <c r="M28" s="124">
        <f t="shared" si="0"/>
        <v>207</v>
      </c>
      <c r="N28" s="135"/>
      <c r="O28" s="124">
        <f t="shared" si="1"/>
        <v>8073</v>
      </c>
      <c r="P28" s="128">
        <f t="shared" si="2"/>
        <v>207</v>
      </c>
      <c r="Q28" s="124"/>
    </row>
    <row r="29" spans="1:17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03">
        <v>25000</v>
      </c>
      <c r="F29" s="107"/>
      <c r="G29" s="107"/>
      <c r="H29" s="107"/>
      <c r="I29" s="107"/>
      <c r="J29" s="107"/>
      <c r="K29" s="109"/>
      <c r="L29" s="103"/>
      <c r="M29" s="103">
        <v>375</v>
      </c>
      <c r="N29" s="98"/>
      <c r="O29" s="103">
        <f t="shared" si="1"/>
        <v>24625</v>
      </c>
      <c r="P29" s="98">
        <v>375</v>
      </c>
      <c r="Q29" s="100"/>
    </row>
    <row r="30" spans="1:17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03">
        <v>15500</v>
      </c>
      <c r="F30" s="113" t="s">
        <v>80</v>
      </c>
      <c r="G30" s="107"/>
      <c r="H30" s="107"/>
      <c r="I30" s="107"/>
      <c r="J30" s="107"/>
      <c r="K30" s="109"/>
      <c r="L30" s="103"/>
      <c r="M30" s="103">
        <v>375</v>
      </c>
      <c r="N30" s="98"/>
      <c r="O30" s="103">
        <f t="shared" si="1"/>
        <v>15125</v>
      </c>
      <c r="P30" s="116">
        <v>375</v>
      </c>
      <c r="Q30" s="100"/>
    </row>
    <row r="31" spans="1:17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98">
        <v>15500</v>
      </c>
      <c r="F31" s="113" t="s">
        <v>83</v>
      </c>
      <c r="G31" s="95"/>
      <c r="H31" s="95"/>
      <c r="I31" s="95"/>
      <c r="J31" s="95"/>
      <c r="K31" s="109"/>
      <c r="L31" s="103"/>
      <c r="M31" s="103">
        <v>375</v>
      </c>
      <c r="N31" s="98"/>
      <c r="O31" s="103">
        <f t="shared" si="1"/>
        <v>15125</v>
      </c>
      <c r="P31" s="116">
        <v>375</v>
      </c>
      <c r="Q31" s="100"/>
    </row>
    <row r="32" spans="1:17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03">
        <v>25000</v>
      </c>
      <c r="F32" s="108" t="s">
        <v>88</v>
      </c>
      <c r="G32" s="107"/>
      <c r="H32" s="107"/>
      <c r="I32" s="107"/>
      <c r="J32" s="107"/>
      <c r="K32" s="109"/>
      <c r="L32" s="103"/>
      <c r="M32" s="103">
        <v>375</v>
      </c>
      <c r="N32" s="98"/>
      <c r="O32" s="103">
        <f t="shared" si="1"/>
        <v>24625</v>
      </c>
      <c r="P32" s="116">
        <v>375</v>
      </c>
      <c r="Q32" s="102"/>
    </row>
    <row r="33" spans="1:17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24">
        <f>+G33*H33</f>
        <v>8360</v>
      </c>
      <c r="F33" s="125" t="s">
        <v>88</v>
      </c>
      <c r="G33" s="123">
        <v>380</v>
      </c>
      <c r="H33" s="123">
        <v>22</v>
      </c>
      <c r="I33" s="123"/>
      <c r="J33" s="123"/>
      <c r="K33" s="126"/>
      <c r="L33" s="124"/>
      <c r="M33" s="124">
        <f>ROUND(E33*2.5%,0)</f>
        <v>209</v>
      </c>
      <c r="N33" s="135"/>
      <c r="O33" s="124">
        <f t="shared" si="1"/>
        <v>8151</v>
      </c>
      <c r="P33" s="128">
        <f t="shared" si="2"/>
        <v>209</v>
      </c>
      <c r="Q33" s="127"/>
    </row>
    <row r="34" spans="1:17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03">
        <v>16200</v>
      </c>
      <c r="F34" s="108" t="s">
        <v>93</v>
      </c>
      <c r="G34" s="107"/>
      <c r="H34" s="107"/>
      <c r="I34" s="107"/>
      <c r="J34" s="107"/>
      <c r="K34" s="109"/>
      <c r="L34" s="103"/>
      <c r="M34" s="103">
        <v>375</v>
      </c>
      <c r="N34" s="98"/>
      <c r="O34" s="103">
        <f t="shared" si="1"/>
        <v>15825</v>
      </c>
      <c r="P34" s="116">
        <v>375</v>
      </c>
      <c r="Q34" s="100"/>
    </row>
    <row r="35" spans="1:17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24">
        <f>G35*H35</f>
        <v>7920</v>
      </c>
      <c r="F35" s="125" t="s">
        <v>96</v>
      </c>
      <c r="G35" s="123">
        <v>330</v>
      </c>
      <c r="H35" s="123">
        <v>24</v>
      </c>
      <c r="I35" s="123"/>
      <c r="J35" s="123"/>
      <c r="K35" s="126"/>
      <c r="L35" s="124"/>
      <c r="M35" s="124">
        <f t="shared" si="0"/>
        <v>198</v>
      </c>
      <c r="N35" s="135"/>
      <c r="O35" s="124">
        <f t="shared" si="1"/>
        <v>7722</v>
      </c>
      <c r="P35" s="128">
        <f t="shared" si="2"/>
        <v>198</v>
      </c>
      <c r="Q35" s="127"/>
    </row>
    <row r="36" spans="1:17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24">
        <f t="shared" ref="E36:E42" si="3">G36*H36</f>
        <v>7920</v>
      </c>
      <c r="F36" s="125" t="s">
        <v>96</v>
      </c>
      <c r="G36" s="123">
        <v>330</v>
      </c>
      <c r="H36" s="123">
        <v>24</v>
      </c>
      <c r="I36" s="123"/>
      <c r="J36" s="123"/>
      <c r="K36" s="126"/>
      <c r="L36" s="124"/>
      <c r="M36" s="124">
        <f t="shared" si="0"/>
        <v>198</v>
      </c>
      <c r="N36" s="135"/>
      <c r="O36" s="124">
        <f t="shared" si="1"/>
        <v>7722</v>
      </c>
      <c r="P36" s="128">
        <f t="shared" si="2"/>
        <v>198</v>
      </c>
      <c r="Q36" s="127"/>
    </row>
    <row r="37" spans="1:17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24">
        <f t="shared" si="3"/>
        <v>7920</v>
      </c>
      <c r="F37" s="125" t="s">
        <v>96</v>
      </c>
      <c r="G37" s="123">
        <v>330</v>
      </c>
      <c r="H37" s="123">
        <v>24</v>
      </c>
      <c r="I37" s="123"/>
      <c r="J37" s="123"/>
      <c r="K37" s="126"/>
      <c r="L37" s="124"/>
      <c r="M37" s="124">
        <f t="shared" si="0"/>
        <v>198</v>
      </c>
      <c r="N37" s="135"/>
      <c r="O37" s="124">
        <f t="shared" si="1"/>
        <v>7722</v>
      </c>
      <c r="P37" s="128">
        <f t="shared" si="2"/>
        <v>198</v>
      </c>
      <c r="Q37" s="124"/>
    </row>
    <row r="38" spans="1:17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24">
        <f t="shared" si="3"/>
        <v>8250</v>
      </c>
      <c r="F38" s="125" t="s">
        <v>96</v>
      </c>
      <c r="G38" s="123">
        <v>330</v>
      </c>
      <c r="H38" s="123">
        <v>25</v>
      </c>
      <c r="I38" s="123"/>
      <c r="J38" s="123"/>
      <c r="K38" s="126"/>
      <c r="L38" s="124"/>
      <c r="M38" s="124">
        <f t="shared" si="0"/>
        <v>206</v>
      </c>
      <c r="N38" s="135"/>
      <c r="O38" s="124">
        <f t="shared" si="1"/>
        <v>8044</v>
      </c>
      <c r="P38" s="128">
        <f t="shared" si="2"/>
        <v>206</v>
      </c>
      <c r="Q38" s="124"/>
    </row>
    <row r="39" spans="1:17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24">
        <f t="shared" si="3"/>
        <v>9600</v>
      </c>
      <c r="F39" s="133" t="s">
        <v>107</v>
      </c>
      <c r="G39" s="132">
        <v>400</v>
      </c>
      <c r="H39" s="132">
        <v>24</v>
      </c>
      <c r="I39" s="132"/>
      <c r="J39" s="132"/>
      <c r="K39" s="134"/>
      <c r="L39" s="135"/>
      <c r="M39" s="124">
        <f t="shared" si="0"/>
        <v>240</v>
      </c>
      <c r="N39" s="135"/>
      <c r="O39" s="124">
        <f t="shared" si="1"/>
        <v>9360</v>
      </c>
      <c r="P39" s="128">
        <f t="shared" si="2"/>
        <v>240</v>
      </c>
      <c r="Q39" s="124"/>
    </row>
    <row r="40" spans="1:17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24">
        <f t="shared" si="3"/>
        <v>7920</v>
      </c>
      <c r="F40" s="133" t="s">
        <v>111</v>
      </c>
      <c r="G40" s="132">
        <v>330</v>
      </c>
      <c r="H40" s="132">
        <v>24</v>
      </c>
      <c r="I40" s="132"/>
      <c r="J40" s="132"/>
      <c r="K40" s="134"/>
      <c r="L40" s="135"/>
      <c r="M40" s="124">
        <f t="shared" si="0"/>
        <v>198</v>
      </c>
      <c r="N40" s="135"/>
      <c r="O40" s="124">
        <f t="shared" si="1"/>
        <v>7722</v>
      </c>
      <c r="P40" s="128">
        <f t="shared" si="2"/>
        <v>198</v>
      </c>
      <c r="Q40" s="124"/>
    </row>
    <row r="41" spans="1:17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24">
        <f t="shared" si="3"/>
        <v>8250</v>
      </c>
      <c r="F41" s="133" t="s">
        <v>111</v>
      </c>
      <c r="G41" s="132">
        <v>330</v>
      </c>
      <c r="H41" s="132">
        <v>25</v>
      </c>
      <c r="I41" s="132"/>
      <c r="J41" s="132"/>
      <c r="K41" s="134"/>
      <c r="L41" s="135"/>
      <c r="M41" s="124">
        <f t="shared" si="0"/>
        <v>206</v>
      </c>
      <c r="N41" s="135"/>
      <c r="O41" s="124">
        <f t="shared" si="1"/>
        <v>8044</v>
      </c>
      <c r="P41" s="128">
        <f t="shared" si="2"/>
        <v>206</v>
      </c>
      <c r="Q41" s="124"/>
    </row>
    <row r="42" spans="1:17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24">
        <f t="shared" si="3"/>
        <v>8250</v>
      </c>
      <c r="F42" s="133" t="s">
        <v>111</v>
      </c>
      <c r="G42" s="132">
        <v>330</v>
      </c>
      <c r="H42" s="132">
        <v>25</v>
      </c>
      <c r="I42" s="132"/>
      <c r="J42" s="132"/>
      <c r="K42" s="134"/>
      <c r="L42" s="135"/>
      <c r="M42" s="124">
        <f t="shared" si="0"/>
        <v>206</v>
      </c>
      <c r="N42" s="135"/>
      <c r="O42" s="124">
        <f t="shared" si="1"/>
        <v>8044</v>
      </c>
      <c r="P42" s="128">
        <f t="shared" si="2"/>
        <v>206</v>
      </c>
      <c r="Q42" s="132"/>
    </row>
    <row r="43" spans="1:17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03">
        <v>25000</v>
      </c>
      <c r="F43" s="112" t="s">
        <v>101</v>
      </c>
      <c r="G43" s="107"/>
      <c r="H43" s="107"/>
      <c r="I43" s="107"/>
      <c r="J43" s="107"/>
      <c r="K43" s="109"/>
      <c r="L43" s="103"/>
      <c r="M43" s="103">
        <v>375</v>
      </c>
      <c r="N43" s="98"/>
      <c r="O43" s="103">
        <f t="shared" si="1"/>
        <v>24625</v>
      </c>
      <c r="P43" s="116">
        <v>375</v>
      </c>
      <c r="Q43" s="100"/>
    </row>
    <row r="44" spans="1:17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24">
        <f>+G44*H44</f>
        <v>7920</v>
      </c>
      <c r="F44" s="138" t="s">
        <v>106</v>
      </c>
      <c r="G44" s="123">
        <v>330</v>
      </c>
      <c r="H44" s="123">
        <v>24</v>
      </c>
      <c r="I44" s="123"/>
      <c r="J44" s="123"/>
      <c r="K44" s="126"/>
      <c r="L44" s="124"/>
      <c r="M44" s="124">
        <f t="shared" si="0"/>
        <v>198</v>
      </c>
      <c r="N44" s="135"/>
      <c r="O44" s="124">
        <f t="shared" si="1"/>
        <v>7722</v>
      </c>
      <c r="P44" s="128">
        <f t="shared" si="2"/>
        <v>198</v>
      </c>
      <c r="Q44" s="139"/>
    </row>
    <row r="45" spans="1:17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98">
        <v>12000</v>
      </c>
      <c r="F45" s="99" t="s">
        <v>115</v>
      </c>
      <c r="G45" s="100"/>
      <c r="H45" s="100"/>
      <c r="I45" s="100"/>
      <c r="J45" s="100"/>
      <c r="K45" s="101"/>
      <c r="L45" s="102"/>
      <c r="M45" s="103">
        <f t="shared" si="0"/>
        <v>300</v>
      </c>
      <c r="N45" s="98"/>
      <c r="O45" s="103">
        <f t="shared" si="1"/>
        <v>11700</v>
      </c>
      <c r="P45" s="116">
        <f t="shared" si="2"/>
        <v>300</v>
      </c>
      <c r="Q45" s="100"/>
    </row>
    <row r="46" spans="1:17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98">
        <v>15000</v>
      </c>
      <c r="F46" s="99" t="s">
        <v>119</v>
      </c>
      <c r="G46" s="95"/>
      <c r="H46" s="95"/>
      <c r="I46" s="95"/>
      <c r="J46" s="95"/>
      <c r="K46" s="115"/>
      <c r="L46" s="98"/>
      <c r="M46" s="103">
        <f t="shared" si="0"/>
        <v>375</v>
      </c>
      <c r="N46" s="98"/>
      <c r="O46" s="103">
        <f t="shared" si="1"/>
        <v>14625</v>
      </c>
      <c r="P46" s="116">
        <f t="shared" si="2"/>
        <v>375</v>
      </c>
      <c r="Q46" s="95"/>
    </row>
    <row r="47" spans="1:17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98">
        <v>15000</v>
      </c>
      <c r="F47" s="99" t="s">
        <v>119</v>
      </c>
      <c r="G47" s="95"/>
      <c r="H47" s="95"/>
      <c r="I47" s="95"/>
      <c r="J47" s="95"/>
      <c r="K47" s="115"/>
      <c r="L47" s="98"/>
      <c r="M47" s="103">
        <f t="shared" si="0"/>
        <v>375</v>
      </c>
      <c r="N47" s="98"/>
      <c r="O47" s="103">
        <f t="shared" si="1"/>
        <v>14625</v>
      </c>
      <c r="P47" s="116">
        <f t="shared" si="2"/>
        <v>375</v>
      </c>
      <c r="Q47" s="95"/>
    </row>
    <row r="48" spans="1:17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98">
        <v>15000</v>
      </c>
      <c r="F48" s="99" t="s">
        <v>119</v>
      </c>
      <c r="G48" s="95"/>
      <c r="H48" s="95"/>
      <c r="I48" s="95"/>
      <c r="J48" s="95"/>
      <c r="K48" s="115"/>
      <c r="L48" s="98"/>
      <c r="M48" s="103">
        <f t="shared" si="0"/>
        <v>375</v>
      </c>
      <c r="N48" s="98"/>
      <c r="O48" s="103">
        <f t="shared" si="1"/>
        <v>14625</v>
      </c>
      <c r="P48" s="116">
        <f t="shared" si="2"/>
        <v>375</v>
      </c>
      <c r="Q48" s="95"/>
    </row>
    <row r="49" spans="1:17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98">
        <v>15000</v>
      </c>
      <c r="F49" s="99" t="s">
        <v>119</v>
      </c>
      <c r="G49" s="95"/>
      <c r="H49" s="95"/>
      <c r="I49" s="95"/>
      <c r="J49" s="95"/>
      <c r="K49" s="115"/>
      <c r="L49" s="98"/>
      <c r="M49" s="103">
        <f t="shared" si="0"/>
        <v>375</v>
      </c>
      <c r="N49" s="98"/>
      <c r="O49" s="103">
        <f t="shared" si="1"/>
        <v>14625</v>
      </c>
      <c r="P49" s="116">
        <f t="shared" si="2"/>
        <v>375</v>
      </c>
      <c r="Q49" s="95"/>
    </row>
    <row r="50" spans="1:17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>
        <f>G50*H50</f>
        <v>9100</v>
      </c>
      <c r="F50" s="144" t="s">
        <v>139</v>
      </c>
      <c r="G50" s="143">
        <v>350</v>
      </c>
      <c r="H50" s="143">
        <v>26</v>
      </c>
      <c r="I50" s="143"/>
      <c r="J50" s="143"/>
      <c r="K50" s="145"/>
      <c r="L50" s="128"/>
      <c r="M50" s="124">
        <f t="shared" si="0"/>
        <v>228</v>
      </c>
      <c r="N50" s="128"/>
      <c r="O50" s="124">
        <f t="shared" si="1"/>
        <v>8872</v>
      </c>
      <c r="P50" s="128">
        <f t="shared" si="2"/>
        <v>228</v>
      </c>
      <c r="Q50" s="146"/>
    </row>
    <row r="51" spans="1:17" s="105" customFormat="1">
      <c r="A51" s="117">
        <v>45</v>
      </c>
      <c r="B51" s="180" t="s">
        <v>163</v>
      </c>
      <c r="C51" s="181">
        <v>6016100144033</v>
      </c>
      <c r="D51" s="182" t="s">
        <v>32</v>
      </c>
      <c r="E51" s="116">
        <v>23000</v>
      </c>
      <c r="F51" s="99" t="s">
        <v>164</v>
      </c>
      <c r="G51" s="95"/>
      <c r="H51" s="95"/>
      <c r="I51" s="183"/>
      <c r="J51" s="183"/>
      <c r="K51" s="184"/>
      <c r="L51" s="185"/>
      <c r="M51" s="103">
        <v>375</v>
      </c>
      <c r="N51" s="116"/>
      <c r="O51" s="103">
        <f t="shared" si="1"/>
        <v>22625</v>
      </c>
      <c r="P51" s="116">
        <v>375</v>
      </c>
      <c r="Q51" s="186"/>
    </row>
    <row r="52" spans="1:17" s="86" customFormat="1" ht="22.5" thickBot="1">
      <c r="A52" s="402" t="s">
        <v>103</v>
      </c>
      <c r="B52" s="402"/>
      <c r="C52" s="402"/>
      <c r="D52" s="402"/>
      <c r="E52" s="89">
        <f>SUM(E7:E51)</f>
        <v>750590</v>
      </c>
      <c r="F52" s="87"/>
      <c r="G52" s="87"/>
      <c r="H52" s="87"/>
      <c r="I52" s="87"/>
      <c r="J52" s="87"/>
      <c r="K52" s="87"/>
      <c r="L52" s="87"/>
      <c r="M52" s="89">
        <f>SUM(M7:M51)</f>
        <v>14590</v>
      </c>
      <c r="N52" s="89">
        <f t="shared" ref="N52:P52" si="4">SUM(N7:N51)</f>
        <v>2832</v>
      </c>
      <c r="O52" s="89">
        <f t="shared" si="4"/>
        <v>733168</v>
      </c>
      <c r="P52" s="89">
        <f t="shared" si="4"/>
        <v>14590</v>
      </c>
      <c r="Q52" s="88"/>
    </row>
    <row r="53" spans="1:17" ht="23.25" thickTop="1" thickBot="1">
      <c r="A53" s="119"/>
      <c r="B53" s="3"/>
      <c r="C53" s="3"/>
      <c r="D53" s="3"/>
      <c r="E53" s="39"/>
      <c r="F53" s="39"/>
      <c r="G53" s="39"/>
      <c r="H53" s="39"/>
      <c r="I53" s="39"/>
      <c r="J53" s="39"/>
      <c r="K53" s="39"/>
      <c r="L53" s="39"/>
      <c r="M53" s="39"/>
      <c r="N53" s="166"/>
      <c r="O53" s="39"/>
      <c r="Q53" s="5"/>
    </row>
    <row r="54" spans="1:17" ht="44.25" thickBot="1">
      <c r="A54" s="119"/>
      <c r="B54" s="50" t="s">
        <v>12</v>
      </c>
      <c r="C54" s="3"/>
      <c r="D54" s="3"/>
      <c r="E54" s="39"/>
      <c r="F54" s="156" t="s">
        <v>145</v>
      </c>
      <c r="G54" s="39"/>
      <c r="H54" s="39"/>
      <c r="I54" s="39"/>
      <c r="J54" s="39"/>
      <c r="K54" s="39"/>
      <c r="L54" s="28" t="s">
        <v>158</v>
      </c>
      <c r="M54" s="153" t="s">
        <v>159</v>
      </c>
      <c r="N54" s="164" t="s">
        <v>150</v>
      </c>
      <c r="O54" s="153" t="s">
        <v>11</v>
      </c>
      <c r="Q54" s="5"/>
    </row>
    <row r="55" spans="1:17">
      <c r="A55" s="119"/>
      <c r="B55" s="52" t="s">
        <v>156</v>
      </c>
      <c r="C55" s="149">
        <v>0</v>
      </c>
      <c r="D55" s="54" t="s">
        <v>142</v>
      </c>
      <c r="E55" s="55" t="s">
        <v>140</v>
      </c>
      <c r="F55" s="170" t="s">
        <v>141</v>
      </c>
      <c r="G55" s="170">
        <v>13</v>
      </c>
      <c r="H55" s="171" t="s">
        <v>142</v>
      </c>
      <c r="I55" s="148"/>
      <c r="J55" s="148"/>
      <c r="L55" s="16">
        <f>+E27+E28+E33+E35+E36+E37+E38+E39+E40+E41+E42+E44+E50</f>
        <v>110090</v>
      </c>
      <c r="M55" s="16">
        <f>+M27+M28+M33+M35+M36+M37+M38+M39+M40+M41+M42+M44+M50</f>
        <v>2752</v>
      </c>
      <c r="N55" s="24">
        <v>0</v>
      </c>
      <c r="O55" s="175">
        <f>+O27+O28+O33+O35+O36+O37+O38+O39+O40+O41+O42+O44+O50</f>
        <v>107338</v>
      </c>
      <c r="Q55" s="5"/>
    </row>
    <row r="56" spans="1:17">
      <c r="A56" s="119"/>
      <c r="B56" s="56" t="s">
        <v>137</v>
      </c>
      <c r="C56" s="150">
        <v>0</v>
      </c>
      <c r="D56" s="6" t="s">
        <v>142</v>
      </c>
      <c r="E56" s="190" t="s">
        <v>162</v>
      </c>
      <c r="F56" s="173" t="s">
        <v>144</v>
      </c>
      <c r="G56" s="173">
        <v>32</v>
      </c>
      <c r="H56" s="174" t="s">
        <v>142</v>
      </c>
      <c r="I56" s="148"/>
      <c r="J56" s="148"/>
      <c r="L56" s="16">
        <f>+E7+E8+E9+E10+E11+E12+E13+E14+E15+E16+E17+E18+E19+E20+E21+E22+E23+E24+E25+E26+E29+E30+E31+E32+E34+E43+E45+E46+E47+E48+E49</f>
        <v>617500</v>
      </c>
      <c r="M56" s="16">
        <f>+M7+M8+M9+M10+M11+M12+M13+M14+M15+M16+M17+M18+M19+M20+M21+M22+M23+M24+M25+M26+M29+M30+M31+M32+M34+M43+M45+M46+M47+M48+M49+M51</f>
        <v>11838</v>
      </c>
      <c r="N56" s="24">
        <f>+N10+N13+N14</f>
        <v>2832</v>
      </c>
      <c r="O56" s="16">
        <f>+O7+O8+O9+O10+O11+O12+O13+O14+O15+O16+O17+O18+O19+O20+O21+O22+O23+O24+O25+O26+O29+O30+O31+O32+O34+O43+O45+O46+O47+O48+O49+O51</f>
        <v>625830</v>
      </c>
      <c r="Q56" s="5"/>
    </row>
    <row r="57" spans="1:17" ht="22.5" thickBot="1">
      <c r="A57" s="119"/>
      <c r="B57" s="419"/>
      <c r="C57" s="420"/>
      <c r="D57" s="187"/>
      <c r="E57" s="188"/>
      <c r="F57" s="189" t="s">
        <v>147</v>
      </c>
      <c r="G57" s="69">
        <f>SUM(G55:G56)</f>
        <v>45</v>
      </c>
      <c r="H57" s="155" t="s">
        <v>142</v>
      </c>
      <c r="I57" s="154"/>
      <c r="J57" s="154"/>
      <c r="L57" s="176">
        <f>SUM(L55:L56)</f>
        <v>727590</v>
      </c>
      <c r="M57" s="176">
        <f>SUM(M55:M56)</f>
        <v>14590</v>
      </c>
      <c r="N57" s="177">
        <f>SUM(N55:N56)</f>
        <v>2832</v>
      </c>
      <c r="O57" s="176">
        <f>SUM(O55:O56)</f>
        <v>733168</v>
      </c>
    </row>
  </sheetData>
  <mergeCells count="17">
    <mergeCell ref="Q5:Q6"/>
    <mergeCell ref="A52:D52"/>
    <mergeCell ref="A1:Q1"/>
    <mergeCell ref="A2:Q2"/>
    <mergeCell ref="A3:Q3"/>
    <mergeCell ref="A5:A6"/>
    <mergeCell ref="B5:B6"/>
    <mergeCell ref="C5:C6"/>
    <mergeCell ref="D5:D6"/>
    <mergeCell ref="E5:E6"/>
    <mergeCell ref="F5:F6"/>
    <mergeCell ref="G5:H5"/>
    <mergeCell ref="B57:C57"/>
    <mergeCell ref="I5:J5"/>
    <mergeCell ref="K5:N5"/>
    <mergeCell ref="O5:O6"/>
    <mergeCell ref="P5:P6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67" orientation="landscape" horizontalDpi="4294967293" r:id="rId1"/>
  <rowBreaks count="1" manualBreakCount="1">
    <brk id="2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81C8-BC4D-4352-88F3-9C191B178772}">
  <dimension ref="A1:R62"/>
  <sheetViews>
    <sheetView view="pageBreakPreview" zoomScale="90" zoomScaleNormal="90" zoomScaleSheetLayoutView="90" workbookViewId="0">
      <pane xSplit="6" ySplit="6" topLeftCell="G52" activePane="bottomRight" state="frozen"/>
      <selection pane="topRight" activeCell="G1" sqref="G1"/>
      <selection pane="bottomLeft" activeCell="A7" sqref="A7"/>
      <selection pane="bottomRight" activeCell="B59" sqref="B59:G62"/>
    </sheetView>
  </sheetViews>
  <sheetFormatPr defaultColWidth="9" defaultRowHeight="21.75"/>
  <cols>
    <col min="1" max="1" width="9" style="120"/>
    <col min="2" max="3" width="22.7109375" style="1" customWidth="1"/>
    <col min="4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" style="1" hidden="1" customWidth="1"/>
    <col min="14" max="14" width="14.140625" style="1" bestFit="1" customWidth="1"/>
    <col min="15" max="15" width="11.85546875" style="168" bestFit="1" customWidth="1"/>
    <col min="16" max="16" width="14.42578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183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4</v>
      </c>
      <c r="D5" s="382" t="s">
        <v>5</v>
      </c>
      <c r="E5" s="382" t="s">
        <v>167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21" t="s">
        <v>161</v>
      </c>
      <c r="R5" s="376" t="s">
        <v>12</v>
      </c>
    </row>
    <row r="6" spans="1:18" ht="44.25" thickBot="1">
      <c r="A6" s="415"/>
      <c r="B6" s="383"/>
      <c r="C6" s="385"/>
      <c r="D6" s="38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160</v>
      </c>
      <c r="O6" s="164" t="s">
        <v>150</v>
      </c>
      <c r="P6" s="396"/>
      <c r="Q6" s="421"/>
      <c r="R6" s="377"/>
    </row>
    <row r="7" spans="1:18" s="110" customFormat="1">
      <c r="A7" s="117">
        <v>1</v>
      </c>
      <c r="B7" s="106" t="s">
        <v>20</v>
      </c>
      <c r="C7" s="107" t="s">
        <v>21</v>
      </c>
      <c r="D7" s="107" t="s">
        <v>22</v>
      </c>
      <c r="E7" s="198" t="s">
        <v>168</v>
      </c>
      <c r="F7" s="103">
        <v>14600</v>
      </c>
      <c r="G7" s="107"/>
      <c r="H7" s="107"/>
      <c r="I7" s="107"/>
      <c r="J7" s="107"/>
      <c r="K7" s="107"/>
      <c r="L7" s="109"/>
      <c r="M7" s="103"/>
      <c r="N7" s="103">
        <f>ROUND(F7*2.5%,0)</f>
        <v>365</v>
      </c>
      <c r="O7" s="98"/>
      <c r="P7" s="103">
        <f>SUM(F7-N7-O7)</f>
        <v>14235</v>
      </c>
      <c r="Q7" s="116">
        <f>ROUND(F7*2.5%,0)</f>
        <v>365</v>
      </c>
      <c r="R7" s="152"/>
    </row>
    <row r="8" spans="1:18" s="110" customFormat="1">
      <c r="A8" s="117">
        <v>2</v>
      </c>
      <c r="B8" s="106" t="s">
        <v>23</v>
      </c>
      <c r="C8" s="107" t="s">
        <v>24</v>
      </c>
      <c r="D8" s="107" t="s">
        <v>19</v>
      </c>
      <c r="E8" s="193" t="s">
        <v>169</v>
      </c>
      <c r="F8" s="103">
        <v>13500</v>
      </c>
      <c r="G8" s="107"/>
      <c r="H8" s="107"/>
      <c r="I8" s="107"/>
      <c r="J8" s="107"/>
      <c r="K8" s="107"/>
      <c r="L8" s="109"/>
      <c r="M8" s="103"/>
      <c r="N8" s="103">
        <f t="shared" ref="N8:N50" si="0">ROUND(F8*2.5%,0)</f>
        <v>338</v>
      </c>
      <c r="O8" s="98"/>
      <c r="P8" s="103">
        <f t="shared" ref="P8:P51" si="1">SUM(F8-N8-O8)</f>
        <v>13162</v>
      </c>
      <c r="Q8" s="116">
        <f t="shared" ref="Q8:Q50" si="2">ROUND(F8*2.5%,0)</f>
        <v>338</v>
      </c>
      <c r="R8" s="100"/>
    </row>
    <row r="9" spans="1:18" s="110" customFormat="1">
      <c r="A9" s="117">
        <v>3</v>
      </c>
      <c r="B9" s="106" t="s">
        <v>25</v>
      </c>
      <c r="C9" s="107" t="s">
        <v>26</v>
      </c>
      <c r="D9" s="107" t="s">
        <v>27</v>
      </c>
      <c r="E9" s="193" t="s">
        <v>169</v>
      </c>
      <c r="F9" s="103">
        <v>13400</v>
      </c>
      <c r="G9" s="107"/>
      <c r="H9" s="107"/>
      <c r="I9" s="107"/>
      <c r="J9" s="107"/>
      <c r="K9" s="107"/>
      <c r="L9" s="109"/>
      <c r="M9" s="103"/>
      <c r="N9" s="103">
        <f t="shared" si="0"/>
        <v>335</v>
      </c>
      <c r="O9" s="98"/>
      <c r="P9" s="103">
        <f t="shared" si="1"/>
        <v>13065</v>
      </c>
      <c r="Q9" s="116">
        <f t="shared" si="2"/>
        <v>335</v>
      </c>
      <c r="R9" s="100"/>
    </row>
    <row r="10" spans="1:18" s="110" customFormat="1">
      <c r="A10" s="117">
        <v>4</v>
      </c>
      <c r="B10" s="106" t="s">
        <v>30</v>
      </c>
      <c r="C10" s="107" t="s">
        <v>31</v>
      </c>
      <c r="D10" s="107" t="s">
        <v>32</v>
      </c>
      <c r="E10" s="193" t="s">
        <v>169</v>
      </c>
      <c r="F10" s="103">
        <v>16500</v>
      </c>
      <c r="G10" s="107"/>
      <c r="H10" s="107"/>
      <c r="I10" s="107"/>
      <c r="J10" s="107"/>
      <c r="K10" s="107"/>
      <c r="L10" s="109"/>
      <c r="M10" s="103"/>
      <c r="N10" s="103">
        <v>375</v>
      </c>
      <c r="O10" s="98">
        <v>651</v>
      </c>
      <c r="P10" s="103">
        <f t="shared" si="1"/>
        <v>15474</v>
      </c>
      <c r="Q10" s="116">
        <v>375</v>
      </c>
      <c r="R10" s="100"/>
    </row>
    <row r="11" spans="1:18" s="110" customFormat="1">
      <c r="A11" s="117">
        <v>5</v>
      </c>
      <c r="B11" s="106" t="s">
        <v>33</v>
      </c>
      <c r="C11" s="107" t="s">
        <v>34</v>
      </c>
      <c r="D11" s="107" t="s">
        <v>32</v>
      </c>
      <c r="E11" s="193" t="s">
        <v>169</v>
      </c>
      <c r="F11" s="103">
        <v>17300</v>
      </c>
      <c r="G11" s="107"/>
      <c r="H11" s="107"/>
      <c r="I11" s="107"/>
      <c r="J11" s="107"/>
      <c r="K11" s="107"/>
      <c r="L11" s="109"/>
      <c r="M11" s="103"/>
      <c r="N11" s="103">
        <v>375</v>
      </c>
      <c r="O11" s="98"/>
      <c r="P11" s="103">
        <f t="shared" si="1"/>
        <v>16925</v>
      </c>
      <c r="Q11" s="116">
        <v>375</v>
      </c>
      <c r="R11" s="100"/>
    </row>
    <row r="12" spans="1:18" s="110" customFormat="1">
      <c r="A12" s="117">
        <v>6</v>
      </c>
      <c r="B12" s="106" t="s">
        <v>35</v>
      </c>
      <c r="C12" s="107" t="s">
        <v>36</v>
      </c>
      <c r="D12" s="107" t="s">
        <v>37</v>
      </c>
      <c r="E12" s="198" t="s">
        <v>168</v>
      </c>
      <c r="F12" s="103">
        <v>19000</v>
      </c>
      <c r="G12" s="107"/>
      <c r="H12" s="107"/>
      <c r="I12" s="107"/>
      <c r="J12" s="107"/>
      <c r="K12" s="107"/>
      <c r="L12" s="109"/>
      <c r="M12" s="103"/>
      <c r="N12" s="103">
        <v>375</v>
      </c>
      <c r="O12" s="98"/>
      <c r="P12" s="103">
        <f t="shared" si="1"/>
        <v>18625</v>
      </c>
      <c r="Q12" s="116">
        <v>375</v>
      </c>
      <c r="R12" s="100"/>
    </row>
    <row r="13" spans="1:18" s="110" customFormat="1">
      <c r="A13" s="117">
        <v>7</v>
      </c>
      <c r="B13" s="106" t="s">
        <v>38</v>
      </c>
      <c r="C13" s="107" t="s">
        <v>39</v>
      </c>
      <c r="D13" s="107" t="s">
        <v>32</v>
      </c>
      <c r="E13" s="193" t="s">
        <v>169</v>
      </c>
      <c r="F13" s="103">
        <v>25000</v>
      </c>
      <c r="G13" s="107"/>
      <c r="H13" s="107"/>
      <c r="I13" s="107"/>
      <c r="J13" s="107"/>
      <c r="K13" s="107"/>
      <c r="L13" s="109"/>
      <c r="M13" s="103"/>
      <c r="N13" s="103">
        <v>375</v>
      </c>
      <c r="O13" s="98">
        <v>1476</v>
      </c>
      <c r="P13" s="103">
        <f t="shared" si="1"/>
        <v>23149</v>
      </c>
      <c r="Q13" s="116">
        <v>375</v>
      </c>
      <c r="R13" s="100"/>
    </row>
    <row r="14" spans="1:18" s="110" customFormat="1">
      <c r="A14" s="117">
        <v>8</v>
      </c>
      <c r="B14" s="106" t="s">
        <v>40</v>
      </c>
      <c r="C14" s="107" t="s">
        <v>41</v>
      </c>
      <c r="D14" s="107" t="s">
        <v>32</v>
      </c>
      <c r="E14" s="193" t="s">
        <v>169</v>
      </c>
      <c r="F14" s="103">
        <v>20500</v>
      </c>
      <c r="G14" s="107"/>
      <c r="H14" s="107"/>
      <c r="I14" s="107"/>
      <c r="J14" s="107"/>
      <c r="K14" s="107"/>
      <c r="L14" s="109"/>
      <c r="M14" s="103"/>
      <c r="N14" s="103">
        <v>375</v>
      </c>
      <c r="O14" s="98">
        <v>705</v>
      </c>
      <c r="P14" s="103">
        <f t="shared" si="1"/>
        <v>19420</v>
      </c>
      <c r="Q14" s="116">
        <v>375</v>
      </c>
      <c r="R14" s="100"/>
    </row>
    <row r="15" spans="1:18" s="110" customFormat="1">
      <c r="A15" s="117">
        <v>9</v>
      </c>
      <c r="B15" s="106" t="s">
        <v>42</v>
      </c>
      <c r="C15" s="107" t="s">
        <v>43</v>
      </c>
      <c r="D15" s="107" t="s">
        <v>44</v>
      </c>
      <c r="E15" s="198" t="s">
        <v>168</v>
      </c>
      <c r="F15" s="103">
        <v>25000</v>
      </c>
      <c r="G15" s="107"/>
      <c r="H15" s="107"/>
      <c r="I15" s="107"/>
      <c r="J15" s="107"/>
      <c r="K15" s="107"/>
      <c r="L15" s="109"/>
      <c r="M15" s="103"/>
      <c r="N15" s="103">
        <v>375</v>
      </c>
      <c r="O15" s="98"/>
      <c r="P15" s="103">
        <f t="shared" si="1"/>
        <v>24625</v>
      </c>
      <c r="Q15" s="116">
        <v>375</v>
      </c>
      <c r="R15" s="100"/>
    </row>
    <row r="16" spans="1:18" s="110" customFormat="1">
      <c r="A16" s="117">
        <v>10</v>
      </c>
      <c r="B16" s="106" t="s">
        <v>45</v>
      </c>
      <c r="C16" s="107" t="s">
        <v>46</v>
      </c>
      <c r="D16" s="107" t="s">
        <v>44</v>
      </c>
      <c r="E16" s="198" t="s">
        <v>168</v>
      </c>
      <c r="F16" s="103">
        <v>19700</v>
      </c>
      <c r="G16" s="107"/>
      <c r="H16" s="107"/>
      <c r="I16" s="107"/>
      <c r="J16" s="107"/>
      <c r="K16" s="107"/>
      <c r="L16" s="109"/>
      <c r="M16" s="103"/>
      <c r="N16" s="103">
        <v>375</v>
      </c>
      <c r="O16" s="98"/>
      <c r="P16" s="103">
        <f t="shared" si="1"/>
        <v>19325</v>
      </c>
      <c r="Q16" s="116">
        <v>375</v>
      </c>
      <c r="R16" s="100"/>
    </row>
    <row r="17" spans="1:18" s="110" customFormat="1">
      <c r="A17" s="117">
        <v>11</v>
      </c>
      <c r="B17" s="106" t="s">
        <v>47</v>
      </c>
      <c r="C17" s="107" t="s">
        <v>48</v>
      </c>
      <c r="D17" s="107" t="s">
        <v>44</v>
      </c>
      <c r="E17" s="198" t="s">
        <v>168</v>
      </c>
      <c r="F17" s="103">
        <v>17600</v>
      </c>
      <c r="G17" s="107"/>
      <c r="H17" s="107"/>
      <c r="I17" s="107"/>
      <c r="J17" s="107"/>
      <c r="K17" s="107"/>
      <c r="L17" s="109"/>
      <c r="M17" s="103"/>
      <c r="N17" s="103">
        <v>375</v>
      </c>
      <c r="O17" s="98"/>
      <c r="P17" s="103">
        <f t="shared" si="1"/>
        <v>17225</v>
      </c>
      <c r="Q17" s="116">
        <v>375</v>
      </c>
      <c r="R17" s="100"/>
    </row>
    <row r="18" spans="1:18" s="110" customFormat="1">
      <c r="A18" s="117">
        <v>12</v>
      </c>
      <c r="B18" s="106" t="s">
        <v>49</v>
      </c>
      <c r="C18" s="107" t="s">
        <v>50</v>
      </c>
      <c r="D18" s="107" t="s">
        <v>37</v>
      </c>
      <c r="E18" s="198" t="s">
        <v>168</v>
      </c>
      <c r="F18" s="103">
        <v>25000</v>
      </c>
      <c r="G18" s="107"/>
      <c r="H18" s="107"/>
      <c r="I18" s="107"/>
      <c r="J18" s="107"/>
      <c r="K18" s="107"/>
      <c r="L18" s="109"/>
      <c r="M18" s="103"/>
      <c r="N18" s="103">
        <v>375</v>
      </c>
      <c r="O18" s="98"/>
      <c r="P18" s="103">
        <f t="shared" si="1"/>
        <v>24625</v>
      </c>
      <c r="Q18" s="116">
        <v>375</v>
      </c>
      <c r="R18" s="100"/>
    </row>
    <row r="19" spans="1:18" s="110" customFormat="1">
      <c r="A19" s="117">
        <v>13</v>
      </c>
      <c r="B19" s="106" t="s">
        <v>51</v>
      </c>
      <c r="C19" s="107" t="s">
        <v>52</v>
      </c>
      <c r="D19" s="107" t="s">
        <v>44</v>
      </c>
      <c r="E19" s="198" t="s">
        <v>168</v>
      </c>
      <c r="F19" s="103">
        <v>22700</v>
      </c>
      <c r="G19" s="107"/>
      <c r="H19" s="107"/>
      <c r="I19" s="107"/>
      <c r="J19" s="107"/>
      <c r="K19" s="107"/>
      <c r="L19" s="109"/>
      <c r="M19" s="103"/>
      <c r="N19" s="103">
        <v>375</v>
      </c>
      <c r="O19" s="98"/>
      <c r="P19" s="103">
        <f t="shared" si="1"/>
        <v>22325</v>
      </c>
      <c r="Q19" s="116">
        <v>375</v>
      </c>
      <c r="R19" s="100"/>
    </row>
    <row r="20" spans="1:18" s="110" customFormat="1">
      <c r="A20" s="117">
        <v>14</v>
      </c>
      <c r="B20" s="106" t="s">
        <v>53</v>
      </c>
      <c r="C20" s="107" t="s">
        <v>54</v>
      </c>
      <c r="D20" s="107" t="s">
        <v>55</v>
      </c>
      <c r="E20" s="193" t="s">
        <v>169</v>
      </c>
      <c r="F20" s="103">
        <v>23500</v>
      </c>
      <c r="G20" s="107"/>
      <c r="H20" s="107"/>
      <c r="I20" s="107"/>
      <c r="J20" s="107"/>
      <c r="K20" s="107"/>
      <c r="L20" s="109"/>
      <c r="M20" s="103"/>
      <c r="N20" s="103">
        <v>375</v>
      </c>
      <c r="O20" s="98"/>
      <c r="P20" s="103">
        <f t="shared" si="1"/>
        <v>23125</v>
      </c>
      <c r="Q20" s="116">
        <v>375</v>
      </c>
      <c r="R20" s="100"/>
    </row>
    <row r="21" spans="1:18" s="110" customFormat="1">
      <c r="A21" s="117">
        <v>15</v>
      </c>
      <c r="B21" s="106" t="s">
        <v>56</v>
      </c>
      <c r="C21" s="107" t="s">
        <v>57</v>
      </c>
      <c r="D21" s="107" t="s">
        <v>58</v>
      </c>
      <c r="E21" s="193" t="s">
        <v>169</v>
      </c>
      <c r="F21" s="103">
        <v>25000</v>
      </c>
      <c r="G21" s="107"/>
      <c r="H21" s="107"/>
      <c r="I21" s="107"/>
      <c r="J21" s="107"/>
      <c r="K21" s="107"/>
      <c r="L21" s="109"/>
      <c r="M21" s="103"/>
      <c r="N21" s="103">
        <v>375</v>
      </c>
      <c r="O21" s="98"/>
      <c r="P21" s="103">
        <f t="shared" si="1"/>
        <v>24625</v>
      </c>
      <c r="Q21" s="116">
        <v>375</v>
      </c>
      <c r="R21" s="100"/>
    </row>
    <row r="22" spans="1:18" s="110" customFormat="1">
      <c r="A22" s="117">
        <v>16</v>
      </c>
      <c r="B22" s="106" t="s">
        <v>60</v>
      </c>
      <c r="C22" s="107" t="s">
        <v>61</v>
      </c>
      <c r="D22" s="107" t="s">
        <v>44</v>
      </c>
      <c r="E22" s="198" t="s">
        <v>168</v>
      </c>
      <c r="F22" s="103">
        <v>25000</v>
      </c>
      <c r="G22" s="107"/>
      <c r="H22" s="107"/>
      <c r="I22" s="107"/>
      <c r="J22" s="107"/>
      <c r="K22" s="107"/>
      <c r="L22" s="109"/>
      <c r="M22" s="103"/>
      <c r="N22" s="103">
        <v>375</v>
      </c>
      <c r="O22" s="98"/>
      <c r="P22" s="103">
        <f t="shared" si="1"/>
        <v>24625</v>
      </c>
      <c r="Q22" s="116">
        <v>375</v>
      </c>
      <c r="R22" s="100"/>
    </row>
    <row r="23" spans="1:18" s="110" customFormat="1">
      <c r="A23" s="117">
        <v>17</v>
      </c>
      <c r="B23" s="106" t="s">
        <v>62</v>
      </c>
      <c r="C23" s="107" t="s">
        <v>63</v>
      </c>
      <c r="D23" s="107" t="s">
        <v>44</v>
      </c>
      <c r="E23" s="198" t="s">
        <v>168</v>
      </c>
      <c r="F23" s="103">
        <v>25000</v>
      </c>
      <c r="G23" s="107"/>
      <c r="H23" s="107"/>
      <c r="I23" s="107"/>
      <c r="J23" s="107"/>
      <c r="K23" s="107"/>
      <c r="L23" s="109"/>
      <c r="M23" s="103"/>
      <c r="N23" s="103">
        <v>375</v>
      </c>
      <c r="O23" s="98"/>
      <c r="P23" s="103">
        <f t="shared" si="1"/>
        <v>24625</v>
      </c>
      <c r="Q23" s="116">
        <v>375</v>
      </c>
      <c r="R23" s="100"/>
    </row>
    <row r="24" spans="1:18" s="110" customFormat="1">
      <c r="A24" s="117">
        <v>18</v>
      </c>
      <c r="B24" s="106" t="s">
        <v>64</v>
      </c>
      <c r="C24" s="107" t="s">
        <v>65</v>
      </c>
      <c r="D24" s="107" t="s">
        <v>44</v>
      </c>
      <c r="E24" s="198" t="s">
        <v>168</v>
      </c>
      <c r="F24" s="103">
        <v>25000</v>
      </c>
      <c r="G24" s="107"/>
      <c r="H24" s="107"/>
      <c r="I24" s="107"/>
      <c r="J24" s="107"/>
      <c r="K24" s="107"/>
      <c r="L24" s="109"/>
      <c r="M24" s="103"/>
      <c r="N24" s="103">
        <v>375</v>
      </c>
      <c r="O24" s="98"/>
      <c r="P24" s="103">
        <f t="shared" si="1"/>
        <v>24625</v>
      </c>
      <c r="Q24" s="116">
        <v>375</v>
      </c>
      <c r="R24" s="100"/>
    </row>
    <row r="25" spans="1:18" s="110" customFormat="1">
      <c r="A25" s="117">
        <v>19</v>
      </c>
      <c r="B25" s="106" t="s">
        <v>66</v>
      </c>
      <c r="C25" s="107" t="s">
        <v>67</v>
      </c>
      <c r="D25" s="107" t="s">
        <v>44</v>
      </c>
      <c r="E25" s="198" t="s">
        <v>168</v>
      </c>
      <c r="F25" s="103">
        <v>25000</v>
      </c>
      <c r="G25" s="107"/>
      <c r="H25" s="107"/>
      <c r="I25" s="107"/>
      <c r="J25" s="107"/>
      <c r="K25" s="107"/>
      <c r="L25" s="109"/>
      <c r="M25" s="103"/>
      <c r="N25" s="103">
        <v>375</v>
      </c>
      <c r="O25" s="98"/>
      <c r="P25" s="103">
        <f t="shared" si="1"/>
        <v>24625</v>
      </c>
      <c r="Q25" s="116">
        <v>375</v>
      </c>
      <c r="R25" s="100"/>
    </row>
    <row r="26" spans="1:18" s="110" customFormat="1">
      <c r="A26" s="117">
        <v>20</v>
      </c>
      <c r="B26" s="106" t="s">
        <v>68</v>
      </c>
      <c r="C26" s="107" t="s">
        <v>69</v>
      </c>
      <c r="D26" s="107" t="s">
        <v>44</v>
      </c>
      <c r="E26" s="198" t="s">
        <v>168</v>
      </c>
      <c r="F26" s="103">
        <v>25000</v>
      </c>
      <c r="G26" s="107"/>
      <c r="H26" s="107"/>
      <c r="I26" s="107"/>
      <c r="J26" s="107"/>
      <c r="K26" s="107"/>
      <c r="L26" s="109"/>
      <c r="M26" s="103"/>
      <c r="N26" s="103">
        <v>375</v>
      </c>
      <c r="O26" s="98"/>
      <c r="P26" s="103">
        <f t="shared" si="1"/>
        <v>24625</v>
      </c>
      <c r="Q26" s="116">
        <v>375</v>
      </c>
      <c r="R26" s="100"/>
    </row>
    <row r="27" spans="1:18" s="129" customFormat="1">
      <c r="A27" s="121">
        <v>21</v>
      </c>
      <c r="B27" s="122" t="s">
        <v>70</v>
      </c>
      <c r="C27" s="123" t="s">
        <v>71</v>
      </c>
      <c r="D27" s="123" t="s">
        <v>72</v>
      </c>
      <c r="E27" s="198" t="s">
        <v>168</v>
      </c>
      <c r="F27" s="124">
        <f>+H27*I27</f>
        <v>10400</v>
      </c>
      <c r="G27" s="123"/>
      <c r="H27" s="123">
        <v>400</v>
      </c>
      <c r="I27" s="123">
        <v>26</v>
      </c>
      <c r="J27" s="123"/>
      <c r="K27" s="123"/>
      <c r="L27" s="126"/>
      <c r="M27" s="124"/>
      <c r="N27" s="124">
        <f t="shared" si="0"/>
        <v>260</v>
      </c>
      <c r="O27" s="135"/>
      <c r="P27" s="124">
        <f t="shared" si="1"/>
        <v>10140</v>
      </c>
      <c r="Q27" s="128">
        <f t="shared" si="2"/>
        <v>260</v>
      </c>
      <c r="R27" s="124"/>
    </row>
    <row r="28" spans="1:18" s="129" customFormat="1">
      <c r="A28" s="121">
        <v>22</v>
      </c>
      <c r="B28" s="122" t="s">
        <v>73</v>
      </c>
      <c r="C28" s="123" t="s">
        <v>74</v>
      </c>
      <c r="D28" s="123" t="s">
        <v>72</v>
      </c>
      <c r="E28" s="198" t="s">
        <v>168</v>
      </c>
      <c r="F28" s="124">
        <f>+H28*I28</f>
        <v>8280</v>
      </c>
      <c r="G28" s="123"/>
      <c r="H28" s="123">
        <v>360</v>
      </c>
      <c r="I28" s="123">
        <v>23</v>
      </c>
      <c r="J28" s="123"/>
      <c r="K28" s="123"/>
      <c r="L28" s="126"/>
      <c r="M28" s="124"/>
      <c r="N28" s="124">
        <f t="shared" si="0"/>
        <v>207</v>
      </c>
      <c r="O28" s="135"/>
      <c r="P28" s="124">
        <f t="shared" si="1"/>
        <v>8073</v>
      </c>
      <c r="Q28" s="128">
        <f t="shared" si="2"/>
        <v>207</v>
      </c>
      <c r="R28" s="124"/>
    </row>
    <row r="29" spans="1:18" s="110" customFormat="1">
      <c r="A29" s="117">
        <v>23</v>
      </c>
      <c r="B29" s="106" t="s">
        <v>75</v>
      </c>
      <c r="C29" s="107" t="s">
        <v>76</v>
      </c>
      <c r="D29" s="107" t="s">
        <v>44</v>
      </c>
      <c r="E29" s="198" t="s">
        <v>168</v>
      </c>
      <c r="F29" s="103">
        <v>25000</v>
      </c>
      <c r="G29" s="107"/>
      <c r="H29" s="107"/>
      <c r="I29" s="107"/>
      <c r="J29" s="107"/>
      <c r="K29" s="107"/>
      <c r="L29" s="109"/>
      <c r="M29" s="103"/>
      <c r="N29" s="103">
        <v>375</v>
      </c>
      <c r="O29" s="98"/>
      <c r="P29" s="103">
        <f t="shared" si="1"/>
        <v>24625</v>
      </c>
      <c r="Q29" s="98">
        <v>375</v>
      </c>
      <c r="R29" s="100"/>
    </row>
    <row r="30" spans="1:18" s="110" customFormat="1">
      <c r="A30" s="117">
        <v>24</v>
      </c>
      <c r="B30" s="106" t="s">
        <v>77</v>
      </c>
      <c r="C30" s="107" t="s">
        <v>78</v>
      </c>
      <c r="D30" s="107" t="s">
        <v>79</v>
      </c>
      <c r="E30" s="193" t="s">
        <v>169</v>
      </c>
      <c r="F30" s="103">
        <v>15500</v>
      </c>
      <c r="G30" s="113" t="s">
        <v>80</v>
      </c>
      <c r="H30" s="107"/>
      <c r="I30" s="107"/>
      <c r="J30" s="107"/>
      <c r="K30" s="107"/>
      <c r="L30" s="109"/>
      <c r="M30" s="103"/>
      <c r="N30" s="103">
        <v>375</v>
      </c>
      <c r="O30" s="98"/>
      <c r="P30" s="103">
        <f t="shared" si="1"/>
        <v>15125</v>
      </c>
      <c r="Q30" s="116">
        <v>375</v>
      </c>
      <c r="R30" s="100"/>
    </row>
    <row r="31" spans="1:18" s="114" customFormat="1">
      <c r="A31" s="117">
        <v>25</v>
      </c>
      <c r="B31" s="96" t="s">
        <v>84</v>
      </c>
      <c r="C31" s="95" t="s">
        <v>85</v>
      </c>
      <c r="D31" s="95" t="s">
        <v>32</v>
      </c>
      <c r="E31" s="261" t="s">
        <v>169</v>
      </c>
      <c r="F31" s="98">
        <v>15500</v>
      </c>
      <c r="G31" s="113" t="s">
        <v>83</v>
      </c>
      <c r="H31" s="95"/>
      <c r="I31" s="95"/>
      <c r="J31" s="95"/>
      <c r="K31" s="95"/>
      <c r="L31" s="109"/>
      <c r="M31" s="103"/>
      <c r="N31" s="103">
        <v>375</v>
      </c>
      <c r="O31" s="98"/>
      <c r="P31" s="103">
        <f t="shared" si="1"/>
        <v>15125</v>
      </c>
      <c r="Q31" s="116">
        <v>375</v>
      </c>
      <c r="R31" s="100"/>
    </row>
    <row r="32" spans="1:18" s="110" customFormat="1">
      <c r="A32" s="117">
        <v>26</v>
      </c>
      <c r="B32" s="106" t="s">
        <v>86</v>
      </c>
      <c r="C32" s="107" t="s">
        <v>87</v>
      </c>
      <c r="D32" s="107" t="s">
        <v>44</v>
      </c>
      <c r="E32" s="198" t="s">
        <v>168</v>
      </c>
      <c r="F32" s="103">
        <v>25000</v>
      </c>
      <c r="G32" s="108" t="s">
        <v>88</v>
      </c>
      <c r="H32" s="107"/>
      <c r="I32" s="107"/>
      <c r="J32" s="107"/>
      <c r="K32" s="107"/>
      <c r="L32" s="109"/>
      <c r="M32" s="103"/>
      <c r="N32" s="103">
        <v>375</v>
      </c>
      <c r="O32" s="98"/>
      <c r="P32" s="103">
        <f t="shared" si="1"/>
        <v>24625</v>
      </c>
      <c r="Q32" s="116">
        <v>375</v>
      </c>
      <c r="R32" s="102"/>
    </row>
    <row r="33" spans="1:18" s="129" customFormat="1">
      <c r="A33" s="121">
        <v>27</v>
      </c>
      <c r="B33" s="122" t="s">
        <v>89</v>
      </c>
      <c r="C33" s="123" t="s">
        <v>90</v>
      </c>
      <c r="D33" s="123" t="s">
        <v>72</v>
      </c>
      <c r="E33" s="198" t="s">
        <v>168</v>
      </c>
      <c r="F33" s="124">
        <f>+H33*I33</f>
        <v>8360</v>
      </c>
      <c r="G33" s="125" t="s">
        <v>88</v>
      </c>
      <c r="H33" s="123">
        <v>380</v>
      </c>
      <c r="I33" s="123">
        <v>22</v>
      </c>
      <c r="J33" s="123"/>
      <c r="K33" s="123"/>
      <c r="L33" s="126"/>
      <c r="M33" s="124"/>
      <c r="N33" s="124">
        <f>ROUND(F33*2.5%,0)</f>
        <v>209</v>
      </c>
      <c r="O33" s="135"/>
      <c r="P33" s="124">
        <f t="shared" si="1"/>
        <v>8151</v>
      </c>
      <c r="Q33" s="128">
        <f t="shared" si="2"/>
        <v>209</v>
      </c>
      <c r="R33" s="127"/>
    </row>
    <row r="34" spans="1:18" s="110" customFormat="1">
      <c r="A34" s="117">
        <v>28</v>
      </c>
      <c r="B34" s="106" t="s">
        <v>91</v>
      </c>
      <c r="C34" s="107" t="s">
        <v>92</v>
      </c>
      <c r="D34" s="107" t="s">
        <v>32</v>
      </c>
      <c r="E34" s="193" t="s">
        <v>169</v>
      </c>
      <c r="F34" s="103">
        <v>16200</v>
      </c>
      <c r="G34" s="108" t="s">
        <v>93</v>
      </c>
      <c r="H34" s="107"/>
      <c r="I34" s="107"/>
      <c r="J34" s="107"/>
      <c r="K34" s="107"/>
      <c r="L34" s="109"/>
      <c r="M34" s="103"/>
      <c r="N34" s="103">
        <v>375</v>
      </c>
      <c r="O34" s="98"/>
      <c r="P34" s="103">
        <f t="shared" si="1"/>
        <v>15825</v>
      </c>
      <c r="Q34" s="116">
        <v>375</v>
      </c>
      <c r="R34" s="100"/>
    </row>
    <row r="35" spans="1:18" s="129" customFormat="1">
      <c r="A35" s="121">
        <v>29</v>
      </c>
      <c r="B35" s="122" t="s">
        <v>94</v>
      </c>
      <c r="C35" s="130">
        <v>6016200526744</v>
      </c>
      <c r="D35" s="123" t="s">
        <v>95</v>
      </c>
      <c r="E35" s="198" t="s">
        <v>168</v>
      </c>
      <c r="F35" s="124">
        <f>H35*I35</f>
        <v>7920</v>
      </c>
      <c r="G35" s="125" t="s">
        <v>96</v>
      </c>
      <c r="H35" s="123">
        <v>330</v>
      </c>
      <c r="I35" s="123">
        <v>24</v>
      </c>
      <c r="J35" s="123"/>
      <c r="K35" s="123"/>
      <c r="L35" s="126"/>
      <c r="M35" s="124"/>
      <c r="N35" s="124">
        <f t="shared" si="0"/>
        <v>198</v>
      </c>
      <c r="O35" s="135"/>
      <c r="P35" s="124">
        <f t="shared" si="1"/>
        <v>7722</v>
      </c>
      <c r="Q35" s="128">
        <f t="shared" si="2"/>
        <v>198</v>
      </c>
      <c r="R35" s="127"/>
    </row>
    <row r="36" spans="1:18" s="129" customFormat="1">
      <c r="A36" s="121">
        <v>30</v>
      </c>
      <c r="B36" s="122" t="s">
        <v>97</v>
      </c>
      <c r="C36" s="130">
        <v>6016200526680</v>
      </c>
      <c r="D36" s="123" t="s">
        <v>95</v>
      </c>
      <c r="E36" s="198" t="s">
        <v>168</v>
      </c>
      <c r="F36" s="124">
        <f t="shared" ref="F36:F42" si="3">H36*I36</f>
        <v>7920</v>
      </c>
      <c r="G36" s="125" t="s">
        <v>96</v>
      </c>
      <c r="H36" s="123">
        <v>330</v>
      </c>
      <c r="I36" s="123">
        <v>24</v>
      </c>
      <c r="J36" s="123"/>
      <c r="K36" s="123"/>
      <c r="L36" s="126"/>
      <c r="M36" s="124"/>
      <c r="N36" s="124">
        <f t="shared" si="0"/>
        <v>198</v>
      </c>
      <c r="O36" s="135"/>
      <c r="P36" s="124">
        <f t="shared" si="1"/>
        <v>7722</v>
      </c>
      <c r="Q36" s="128">
        <f t="shared" si="2"/>
        <v>198</v>
      </c>
      <c r="R36" s="127"/>
    </row>
    <row r="37" spans="1:18" s="129" customFormat="1">
      <c r="A37" s="121">
        <v>31</v>
      </c>
      <c r="B37" s="122" t="s">
        <v>98</v>
      </c>
      <c r="C37" s="130">
        <v>6016200526639</v>
      </c>
      <c r="D37" s="123" t="s">
        <v>95</v>
      </c>
      <c r="E37" s="198" t="s">
        <v>168</v>
      </c>
      <c r="F37" s="124">
        <f t="shared" si="3"/>
        <v>7920</v>
      </c>
      <c r="G37" s="125" t="s">
        <v>96</v>
      </c>
      <c r="H37" s="123">
        <v>330</v>
      </c>
      <c r="I37" s="123">
        <v>24</v>
      </c>
      <c r="J37" s="123"/>
      <c r="K37" s="123"/>
      <c r="L37" s="126"/>
      <c r="M37" s="124"/>
      <c r="N37" s="124">
        <f t="shared" si="0"/>
        <v>198</v>
      </c>
      <c r="O37" s="135"/>
      <c r="P37" s="124">
        <f t="shared" si="1"/>
        <v>7722</v>
      </c>
      <c r="Q37" s="128">
        <f t="shared" si="2"/>
        <v>198</v>
      </c>
      <c r="R37" s="124"/>
    </row>
    <row r="38" spans="1:18" s="129" customFormat="1">
      <c r="A38" s="121">
        <v>32</v>
      </c>
      <c r="B38" s="122" t="s">
        <v>99</v>
      </c>
      <c r="C38" s="130">
        <v>6016200526591</v>
      </c>
      <c r="D38" s="123" t="s">
        <v>95</v>
      </c>
      <c r="E38" s="198" t="s">
        <v>168</v>
      </c>
      <c r="F38" s="124">
        <f t="shared" si="3"/>
        <v>8250</v>
      </c>
      <c r="G38" s="125" t="s">
        <v>96</v>
      </c>
      <c r="H38" s="123">
        <v>330</v>
      </c>
      <c r="I38" s="123">
        <v>25</v>
      </c>
      <c r="J38" s="123"/>
      <c r="K38" s="123"/>
      <c r="L38" s="126"/>
      <c r="M38" s="124"/>
      <c r="N38" s="124">
        <f t="shared" si="0"/>
        <v>206</v>
      </c>
      <c r="O38" s="135"/>
      <c r="P38" s="124">
        <f t="shared" si="1"/>
        <v>8044</v>
      </c>
      <c r="Q38" s="128">
        <f t="shared" si="2"/>
        <v>206</v>
      </c>
      <c r="R38" s="124"/>
    </row>
    <row r="39" spans="1:18" s="136" customFormat="1">
      <c r="A39" s="121">
        <v>33</v>
      </c>
      <c r="B39" s="131" t="s">
        <v>108</v>
      </c>
      <c r="C39" s="132" t="s">
        <v>109</v>
      </c>
      <c r="D39" s="132" t="s">
        <v>72</v>
      </c>
      <c r="E39" s="198" t="s">
        <v>168</v>
      </c>
      <c r="F39" s="124">
        <f t="shared" si="3"/>
        <v>9600</v>
      </c>
      <c r="G39" s="133" t="s">
        <v>107</v>
      </c>
      <c r="H39" s="132">
        <v>400</v>
      </c>
      <c r="I39" s="132">
        <v>24</v>
      </c>
      <c r="J39" s="132"/>
      <c r="K39" s="132"/>
      <c r="L39" s="134"/>
      <c r="M39" s="135"/>
      <c r="N39" s="124">
        <f t="shared" si="0"/>
        <v>240</v>
      </c>
      <c r="O39" s="135"/>
      <c r="P39" s="124">
        <f t="shared" si="1"/>
        <v>9360</v>
      </c>
      <c r="Q39" s="128">
        <f t="shared" si="2"/>
        <v>240</v>
      </c>
      <c r="R39" s="124"/>
    </row>
    <row r="40" spans="1:18" s="136" customFormat="1">
      <c r="A40" s="121">
        <v>34</v>
      </c>
      <c r="B40" s="131" t="s">
        <v>110</v>
      </c>
      <c r="C40" s="137">
        <v>6016300837717</v>
      </c>
      <c r="D40" s="132" t="s">
        <v>95</v>
      </c>
      <c r="E40" s="198" t="s">
        <v>168</v>
      </c>
      <c r="F40" s="124">
        <f t="shared" si="3"/>
        <v>7920</v>
      </c>
      <c r="G40" s="133" t="s">
        <v>111</v>
      </c>
      <c r="H40" s="132">
        <v>330</v>
      </c>
      <c r="I40" s="132">
        <v>24</v>
      </c>
      <c r="J40" s="132"/>
      <c r="K40" s="132"/>
      <c r="L40" s="134"/>
      <c r="M40" s="135"/>
      <c r="N40" s="124">
        <f t="shared" si="0"/>
        <v>198</v>
      </c>
      <c r="O40" s="135"/>
      <c r="P40" s="124">
        <f t="shared" si="1"/>
        <v>7722</v>
      </c>
      <c r="Q40" s="128">
        <f t="shared" si="2"/>
        <v>198</v>
      </c>
      <c r="R40" s="124"/>
    </row>
    <row r="41" spans="1:18" s="136" customFormat="1">
      <c r="A41" s="121">
        <v>35</v>
      </c>
      <c r="B41" s="131" t="s">
        <v>112</v>
      </c>
      <c r="C41" s="137">
        <v>6016300837709</v>
      </c>
      <c r="D41" s="132" t="s">
        <v>95</v>
      </c>
      <c r="E41" s="198" t="s">
        <v>168</v>
      </c>
      <c r="F41" s="124">
        <f t="shared" si="3"/>
        <v>8250</v>
      </c>
      <c r="G41" s="133" t="s">
        <v>111</v>
      </c>
      <c r="H41" s="132">
        <v>330</v>
      </c>
      <c r="I41" s="132">
        <v>25</v>
      </c>
      <c r="J41" s="132"/>
      <c r="K41" s="132"/>
      <c r="L41" s="134"/>
      <c r="M41" s="135"/>
      <c r="N41" s="124">
        <f t="shared" si="0"/>
        <v>206</v>
      </c>
      <c r="O41" s="135"/>
      <c r="P41" s="124">
        <f t="shared" si="1"/>
        <v>8044</v>
      </c>
      <c r="Q41" s="128">
        <f t="shared" si="2"/>
        <v>206</v>
      </c>
      <c r="R41" s="124"/>
    </row>
    <row r="42" spans="1:18" s="136" customFormat="1">
      <c r="A42" s="121">
        <v>36</v>
      </c>
      <c r="B42" s="131" t="s">
        <v>113</v>
      </c>
      <c r="C42" s="137">
        <v>6016300837750</v>
      </c>
      <c r="D42" s="132" t="s">
        <v>95</v>
      </c>
      <c r="E42" s="198" t="s">
        <v>168</v>
      </c>
      <c r="F42" s="124">
        <f t="shared" si="3"/>
        <v>8250</v>
      </c>
      <c r="G42" s="133" t="s">
        <v>111</v>
      </c>
      <c r="H42" s="132">
        <v>330</v>
      </c>
      <c r="I42" s="132">
        <v>25</v>
      </c>
      <c r="J42" s="132"/>
      <c r="K42" s="132"/>
      <c r="L42" s="134"/>
      <c r="M42" s="135"/>
      <c r="N42" s="124">
        <f t="shared" si="0"/>
        <v>206</v>
      </c>
      <c r="O42" s="135"/>
      <c r="P42" s="124">
        <f t="shared" si="1"/>
        <v>8044</v>
      </c>
      <c r="Q42" s="128">
        <f t="shared" si="2"/>
        <v>206</v>
      </c>
      <c r="R42" s="132"/>
    </row>
    <row r="43" spans="1:18" s="110" customFormat="1">
      <c r="A43" s="117">
        <v>37</v>
      </c>
      <c r="B43" s="106" t="s">
        <v>100</v>
      </c>
      <c r="C43" s="111">
        <v>1101500149087</v>
      </c>
      <c r="D43" s="107" t="s">
        <v>44</v>
      </c>
      <c r="E43" s="198" t="s">
        <v>168</v>
      </c>
      <c r="F43" s="103">
        <v>25000</v>
      </c>
      <c r="G43" s="112" t="s">
        <v>101</v>
      </c>
      <c r="H43" s="107"/>
      <c r="I43" s="107"/>
      <c r="J43" s="107"/>
      <c r="K43" s="107"/>
      <c r="L43" s="109"/>
      <c r="M43" s="103"/>
      <c r="N43" s="103">
        <v>375</v>
      </c>
      <c r="O43" s="98"/>
      <c r="P43" s="103">
        <f t="shared" si="1"/>
        <v>24625</v>
      </c>
      <c r="Q43" s="116">
        <v>375</v>
      </c>
      <c r="R43" s="100"/>
    </row>
    <row r="44" spans="1:18" s="129" customFormat="1">
      <c r="A44" s="121">
        <v>38</v>
      </c>
      <c r="B44" s="122" t="s">
        <v>102</v>
      </c>
      <c r="C44" s="130">
        <v>220062001228</v>
      </c>
      <c r="D44" s="123" t="s">
        <v>95</v>
      </c>
      <c r="E44" s="198" t="s">
        <v>168</v>
      </c>
      <c r="F44" s="124">
        <f>+H44*I44</f>
        <v>7920</v>
      </c>
      <c r="G44" s="138" t="s">
        <v>106</v>
      </c>
      <c r="H44" s="123">
        <v>330</v>
      </c>
      <c r="I44" s="123">
        <v>24</v>
      </c>
      <c r="J44" s="123"/>
      <c r="K44" s="123"/>
      <c r="L44" s="126"/>
      <c r="M44" s="124"/>
      <c r="N44" s="124">
        <f t="shared" si="0"/>
        <v>198</v>
      </c>
      <c r="O44" s="135"/>
      <c r="P44" s="124">
        <f t="shared" si="1"/>
        <v>7722</v>
      </c>
      <c r="Q44" s="128">
        <f t="shared" si="2"/>
        <v>198</v>
      </c>
      <c r="R44" s="139"/>
    </row>
    <row r="45" spans="1:18" s="105" customFormat="1">
      <c r="A45" s="117">
        <v>39</v>
      </c>
      <c r="B45" s="96" t="s">
        <v>114</v>
      </c>
      <c r="C45" s="97">
        <v>1419900221235</v>
      </c>
      <c r="D45" s="95" t="s">
        <v>32</v>
      </c>
      <c r="E45" s="261" t="s">
        <v>169</v>
      </c>
      <c r="F45" s="98">
        <v>12000</v>
      </c>
      <c r="G45" s="99" t="s">
        <v>115</v>
      </c>
      <c r="H45" s="100"/>
      <c r="I45" s="100"/>
      <c r="J45" s="100"/>
      <c r="K45" s="100"/>
      <c r="L45" s="101"/>
      <c r="M45" s="102"/>
      <c r="N45" s="103">
        <f t="shared" si="0"/>
        <v>300</v>
      </c>
      <c r="O45" s="98"/>
      <c r="P45" s="103">
        <f t="shared" si="1"/>
        <v>11700</v>
      </c>
      <c r="Q45" s="116">
        <f t="shared" si="2"/>
        <v>300</v>
      </c>
      <c r="R45" s="100"/>
    </row>
    <row r="46" spans="1:18" s="114" customFormat="1">
      <c r="A46" s="117">
        <v>40</v>
      </c>
      <c r="B46" s="96" t="s">
        <v>118</v>
      </c>
      <c r="C46" s="97">
        <v>1229900643638</v>
      </c>
      <c r="D46" s="95" t="s">
        <v>44</v>
      </c>
      <c r="E46" s="248" t="s">
        <v>168</v>
      </c>
      <c r="F46" s="98">
        <v>15000</v>
      </c>
      <c r="G46" s="99" t="s">
        <v>119</v>
      </c>
      <c r="H46" s="95"/>
      <c r="I46" s="95"/>
      <c r="J46" s="95"/>
      <c r="K46" s="95"/>
      <c r="L46" s="115"/>
      <c r="M46" s="98"/>
      <c r="N46" s="103">
        <f t="shared" si="0"/>
        <v>375</v>
      </c>
      <c r="O46" s="98"/>
      <c r="P46" s="103">
        <f t="shared" si="1"/>
        <v>14625</v>
      </c>
      <c r="Q46" s="116">
        <f t="shared" si="2"/>
        <v>375</v>
      </c>
      <c r="R46" s="95"/>
    </row>
    <row r="47" spans="1:18" s="114" customFormat="1">
      <c r="A47" s="117">
        <v>41</v>
      </c>
      <c r="B47" s="96" t="s">
        <v>120</v>
      </c>
      <c r="C47" s="97">
        <v>3402000037896</v>
      </c>
      <c r="D47" s="95" t="s">
        <v>44</v>
      </c>
      <c r="E47" s="248" t="s">
        <v>168</v>
      </c>
      <c r="F47" s="98">
        <v>15000</v>
      </c>
      <c r="G47" s="99" t="s">
        <v>119</v>
      </c>
      <c r="H47" s="95"/>
      <c r="I47" s="95"/>
      <c r="J47" s="95"/>
      <c r="K47" s="95"/>
      <c r="L47" s="115"/>
      <c r="M47" s="98"/>
      <c r="N47" s="103">
        <f t="shared" si="0"/>
        <v>375</v>
      </c>
      <c r="O47" s="98"/>
      <c r="P47" s="103">
        <f t="shared" si="1"/>
        <v>14625</v>
      </c>
      <c r="Q47" s="116">
        <f t="shared" si="2"/>
        <v>375</v>
      </c>
      <c r="R47" s="95"/>
    </row>
    <row r="48" spans="1:18" s="114" customFormat="1">
      <c r="A48" s="117">
        <v>42</v>
      </c>
      <c r="B48" s="96" t="s">
        <v>121</v>
      </c>
      <c r="C48" s="97">
        <v>3341600658671</v>
      </c>
      <c r="D48" s="95" t="s">
        <v>44</v>
      </c>
      <c r="E48" s="248" t="s">
        <v>168</v>
      </c>
      <c r="F48" s="98">
        <v>15000</v>
      </c>
      <c r="G48" s="99" t="s">
        <v>119</v>
      </c>
      <c r="H48" s="95"/>
      <c r="I48" s="95"/>
      <c r="J48" s="95"/>
      <c r="K48" s="95"/>
      <c r="L48" s="115"/>
      <c r="M48" s="98"/>
      <c r="N48" s="103">
        <f t="shared" si="0"/>
        <v>375</v>
      </c>
      <c r="O48" s="98"/>
      <c r="P48" s="103">
        <f t="shared" si="1"/>
        <v>14625</v>
      </c>
      <c r="Q48" s="116">
        <f t="shared" si="2"/>
        <v>375</v>
      </c>
      <c r="R48" s="95"/>
    </row>
    <row r="49" spans="1:18" s="114" customFormat="1">
      <c r="A49" s="117">
        <v>43</v>
      </c>
      <c r="B49" s="96" t="s">
        <v>122</v>
      </c>
      <c r="C49" s="97">
        <v>3930100204585</v>
      </c>
      <c r="D49" s="95" t="s">
        <v>19</v>
      </c>
      <c r="E49" s="261" t="s">
        <v>169</v>
      </c>
      <c r="F49" s="98">
        <v>15000</v>
      </c>
      <c r="G49" s="99" t="s">
        <v>119</v>
      </c>
      <c r="H49" s="95"/>
      <c r="I49" s="95"/>
      <c r="J49" s="95"/>
      <c r="K49" s="95"/>
      <c r="L49" s="115"/>
      <c r="M49" s="98"/>
      <c r="N49" s="103">
        <f t="shared" si="0"/>
        <v>375</v>
      </c>
      <c r="O49" s="98"/>
      <c r="P49" s="103">
        <f t="shared" si="1"/>
        <v>14625</v>
      </c>
      <c r="Q49" s="116">
        <f t="shared" si="2"/>
        <v>375</v>
      </c>
      <c r="R49" s="95"/>
    </row>
    <row r="50" spans="1:18" s="147" customFormat="1">
      <c r="A50" s="121">
        <v>44</v>
      </c>
      <c r="B50" s="141" t="s">
        <v>138</v>
      </c>
      <c r="C50" s="142">
        <v>1461000135963</v>
      </c>
      <c r="D50" s="143" t="s">
        <v>95</v>
      </c>
      <c r="E50" s="128" t="s">
        <v>168</v>
      </c>
      <c r="F50" s="128">
        <f>H50*I50</f>
        <v>9100</v>
      </c>
      <c r="G50" s="144" t="s">
        <v>139</v>
      </c>
      <c r="H50" s="143">
        <v>350</v>
      </c>
      <c r="I50" s="143">
        <v>26</v>
      </c>
      <c r="J50" s="143"/>
      <c r="K50" s="143"/>
      <c r="L50" s="145"/>
      <c r="M50" s="128"/>
      <c r="N50" s="124">
        <f t="shared" si="0"/>
        <v>228</v>
      </c>
      <c r="O50" s="128"/>
      <c r="P50" s="124">
        <f t="shared" si="1"/>
        <v>8872</v>
      </c>
      <c r="Q50" s="128">
        <f t="shared" si="2"/>
        <v>228</v>
      </c>
      <c r="R50" s="146"/>
    </row>
    <row r="51" spans="1:18" s="105" customFormat="1">
      <c r="A51" s="117">
        <v>45</v>
      </c>
      <c r="B51" s="180" t="s">
        <v>163</v>
      </c>
      <c r="C51" s="181">
        <v>6016100144033</v>
      </c>
      <c r="D51" s="182" t="s">
        <v>32</v>
      </c>
      <c r="E51" s="256" t="s">
        <v>169</v>
      </c>
      <c r="F51" s="116">
        <v>23000</v>
      </c>
      <c r="G51" s="99" t="s">
        <v>164</v>
      </c>
      <c r="H51" s="95"/>
      <c r="I51" s="95"/>
      <c r="J51" s="183"/>
      <c r="K51" s="183"/>
      <c r="L51" s="184"/>
      <c r="M51" s="185"/>
      <c r="N51" s="103">
        <v>375</v>
      </c>
      <c r="O51" s="116"/>
      <c r="P51" s="103">
        <f t="shared" si="1"/>
        <v>22625</v>
      </c>
      <c r="Q51" s="116">
        <v>375</v>
      </c>
      <c r="R51" s="186"/>
    </row>
    <row r="52" spans="1:18" s="86" customFormat="1" ht="22.5" thickBot="1">
      <c r="A52" s="402" t="s">
        <v>103</v>
      </c>
      <c r="B52" s="402"/>
      <c r="C52" s="402"/>
      <c r="D52" s="402"/>
      <c r="E52" s="402"/>
      <c r="F52" s="89">
        <f>SUM(F7:F51)</f>
        <v>750590</v>
      </c>
      <c r="G52" s="87"/>
      <c r="H52" s="87"/>
      <c r="I52" s="87"/>
      <c r="J52" s="87"/>
      <c r="K52" s="87"/>
      <c r="L52" s="87"/>
      <c r="M52" s="87"/>
      <c r="N52" s="89">
        <f>SUM(N7:N51)</f>
        <v>14590</v>
      </c>
      <c r="O52" s="89">
        <f t="shared" ref="O52:Q52" si="4">SUM(O7:O51)</f>
        <v>2832</v>
      </c>
      <c r="P52" s="89">
        <f t="shared" si="4"/>
        <v>733168</v>
      </c>
      <c r="Q52" s="89">
        <f t="shared" si="4"/>
        <v>14590</v>
      </c>
      <c r="R52" s="88"/>
    </row>
    <row r="53" spans="1:18" ht="23.25" thickTop="1" thickBot="1">
      <c r="A53" s="119"/>
      <c r="B53" s="3"/>
      <c r="C53" s="3"/>
      <c r="D53" s="3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44.25" thickBot="1">
      <c r="A54" s="119"/>
      <c r="B54" s="50" t="s">
        <v>12</v>
      </c>
      <c r="C54" s="3"/>
      <c r="D54" s="3"/>
      <c r="E54" s="3"/>
      <c r="F54" s="39"/>
      <c r="G54" s="156" t="s">
        <v>145</v>
      </c>
      <c r="H54" s="39"/>
      <c r="I54" s="39"/>
      <c r="J54" s="39"/>
      <c r="K54" s="39"/>
      <c r="L54" s="39"/>
      <c r="M54" s="28" t="s">
        <v>158</v>
      </c>
      <c r="N54" s="153" t="s">
        <v>159</v>
      </c>
      <c r="O54" s="164" t="s">
        <v>150</v>
      </c>
      <c r="P54" s="153" t="s">
        <v>11</v>
      </c>
      <c r="R54" s="5"/>
    </row>
    <row r="55" spans="1:18">
      <c r="A55" s="119"/>
      <c r="B55" s="52" t="s">
        <v>156</v>
      </c>
      <c r="C55" s="149">
        <v>0</v>
      </c>
      <c r="D55" s="54" t="s">
        <v>142</v>
      </c>
      <c r="E55" s="54"/>
      <c r="F55" s="55" t="s">
        <v>140</v>
      </c>
      <c r="G55" s="170" t="s">
        <v>141</v>
      </c>
      <c r="H55" s="170">
        <v>13</v>
      </c>
      <c r="I55" s="171" t="s">
        <v>142</v>
      </c>
      <c r="J55" s="148"/>
      <c r="K55" s="148"/>
      <c r="M55" s="16">
        <f>+F27+F28+F33+F35+F36+F37+F38+F39+F40+F41+F42+F44+F50</f>
        <v>110090</v>
      </c>
      <c r="N55" s="16">
        <f>+N27+N28+N33+N35+N36+N37+N38+N39+N40+N41+N42+N44+N50</f>
        <v>2752</v>
      </c>
      <c r="O55" s="24">
        <v>0</v>
      </c>
      <c r="P55" s="175">
        <f>+P27+P28+P33+P35+P36+P37+P38+P39+P40+P41+P42+P44+P50</f>
        <v>107338</v>
      </c>
      <c r="R55" s="5"/>
    </row>
    <row r="56" spans="1:18">
      <c r="A56" s="119"/>
      <c r="B56" s="56" t="s">
        <v>137</v>
      </c>
      <c r="C56" s="150">
        <v>0</v>
      </c>
      <c r="D56" s="6" t="s">
        <v>142</v>
      </c>
      <c r="E56" s="6"/>
      <c r="F56" s="190" t="s">
        <v>162</v>
      </c>
      <c r="G56" s="173" t="s">
        <v>144</v>
      </c>
      <c r="H56" s="173">
        <v>32</v>
      </c>
      <c r="I56" s="174" t="s">
        <v>142</v>
      </c>
      <c r="J56" s="148"/>
      <c r="K56" s="148"/>
      <c r="M56" s="16">
        <f>+F7+F8+F9+F10+F11+F12+F13+F14+F15+F16+F17+F18+F19+F20+F21+F22+F23+F24+F25+F26+F29+F30+F31+F32+F34+F43+F45+F46+F47+F48+F49</f>
        <v>617500</v>
      </c>
      <c r="N56" s="16">
        <f>+N7+N8+N9+N10+N11+N12+N13+N14+N15+N16+N17+N18+N19+N20+N21+N22+N23+N24+N25+N26+N29+N30+N31+N32+N34+N43+N45+N46+N47+N48+N49+N51</f>
        <v>11838</v>
      </c>
      <c r="O56" s="24">
        <f>+O10+O13+O14</f>
        <v>2832</v>
      </c>
      <c r="P56" s="16">
        <f>+P7+P8+P9+P10+P11+P12+P13+P14+P15+P16+P17+P18+P19+P20+P21+P22+P23+P24+P25+P26+P29+P30+P31+P32+P34+P43+P45+P46+P47+P48+P49+P51</f>
        <v>625830</v>
      </c>
      <c r="R56" s="5"/>
    </row>
    <row r="57" spans="1:18" ht="22.5" thickBot="1">
      <c r="A57" s="119"/>
      <c r="B57" s="419"/>
      <c r="C57" s="420"/>
      <c r="D57" s="187"/>
      <c r="E57" s="187"/>
      <c r="F57" s="188"/>
      <c r="G57" s="189" t="s">
        <v>147</v>
      </c>
      <c r="H57" s="69">
        <f>SUM(H55:H56)</f>
        <v>45</v>
      </c>
      <c r="I57" s="155" t="s">
        <v>142</v>
      </c>
      <c r="J57" s="154"/>
      <c r="K57" s="154"/>
      <c r="M57" s="176">
        <f>SUM(M55:M56)</f>
        <v>727590</v>
      </c>
      <c r="N57" s="176">
        <f>SUM(N55:N56)</f>
        <v>14590</v>
      </c>
      <c r="O57" s="177">
        <f>SUM(O55:O56)</f>
        <v>2832</v>
      </c>
      <c r="P57" s="176">
        <f>SUM(P55:P56)</f>
        <v>733168</v>
      </c>
    </row>
    <row r="58" spans="1:18" hidden="1"/>
    <row r="59" spans="1:18" ht="43.5">
      <c r="B59" s="11" t="s">
        <v>167</v>
      </c>
      <c r="C59" s="11" t="s">
        <v>158</v>
      </c>
      <c r="D59" s="234" t="s">
        <v>180</v>
      </c>
      <c r="E59" s="234" t="s">
        <v>181</v>
      </c>
      <c r="F59" s="91" t="s">
        <v>150</v>
      </c>
      <c r="G59" s="234" t="s">
        <v>172</v>
      </c>
    </row>
    <row r="60" spans="1:18">
      <c r="B60" s="199" t="s">
        <v>178</v>
      </c>
      <c r="C60" s="197">
        <f>+F7+F12+F15+F16+F17+F18+F19+F22+F23+F24+F25+F26+F27+F28+F29+F32+F33+F35+F36+F37+F38+F39+F40+F41+F42+F43+F44+F46+F47+F48+F50</f>
        <v>498690</v>
      </c>
      <c r="D60" s="197">
        <f>+Q7+Q12+Q15+Q16+Q17+Q18+Q19+Q22+Q23+Q24+Q25+Q26+Q27+Q28+Q29+Q32+Q33+Q35+Q36+Q37+Q38+Q39+Q40+Q41+Q42+Q43+Q44+Q46+Q47+Q50+Q48</f>
        <v>9492</v>
      </c>
      <c r="E60" s="197">
        <f>+N7+N12+N15+N16+N17+N18+N19+N22+N23+N24+N26+N27+N28+N29+N32+N25+N33+N35+N36+N37+N38+N39+N40+N41+N42+N43+N44+N46+N47+N48+N50</f>
        <v>9492</v>
      </c>
      <c r="F60" s="197">
        <v>0</v>
      </c>
      <c r="G60" s="197">
        <f>+D60+E60</f>
        <v>18984</v>
      </c>
    </row>
    <row r="61" spans="1:18">
      <c r="B61" s="191" t="s">
        <v>179</v>
      </c>
      <c r="C61" s="204">
        <f>+F8+F9+F10+F11+F13+F14+F20+F21+F30+F31+F34+F45+F49+F51</f>
        <v>251900</v>
      </c>
      <c r="D61" s="204">
        <f>+Q8+Q9+Q10+Q11+Q13+Q14+Q20+Q21+Q30+Q31+Q34+Q45+Q49+Q51</f>
        <v>5098</v>
      </c>
      <c r="E61" s="204">
        <f>+N8+N9+N10+N11+N13+N14+N20+N21+N30+N31+N34+N45+N49+N51</f>
        <v>5098</v>
      </c>
      <c r="F61" s="204">
        <f>+O10+O13+O14</f>
        <v>2832</v>
      </c>
      <c r="G61" s="204">
        <f>+D61+E61</f>
        <v>10196</v>
      </c>
    </row>
    <row r="62" spans="1:18" ht="24">
      <c r="B62" s="195" t="s">
        <v>147</v>
      </c>
      <c r="C62" s="233">
        <f>SUM(C60:C61)</f>
        <v>750590</v>
      </c>
      <c r="D62" s="233">
        <f>SUM(D60:D61)</f>
        <v>14590</v>
      </c>
      <c r="E62" s="233">
        <f>SUM(E60:E61)</f>
        <v>14590</v>
      </c>
      <c r="F62" s="233">
        <f>SUM(F60:F61)</f>
        <v>2832</v>
      </c>
      <c r="G62" s="233">
        <f>SUM(G60:G61)</f>
        <v>29180</v>
      </c>
    </row>
  </sheetData>
  <mergeCells count="18">
    <mergeCell ref="P5:P6"/>
    <mergeCell ref="Q5:Q6"/>
    <mergeCell ref="R5:R6"/>
    <mergeCell ref="A1:R1"/>
    <mergeCell ref="A2:R2"/>
    <mergeCell ref="A3:R3"/>
    <mergeCell ref="A5:A6"/>
    <mergeCell ref="B5:B6"/>
    <mergeCell ref="C5:C6"/>
    <mergeCell ref="D5:D6"/>
    <mergeCell ref="F5:F6"/>
    <mergeCell ref="G5:G6"/>
    <mergeCell ref="H5:I5"/>
    <mergeCell ref="B57:C57"/>
    <mergeCell ref="A52:E52"/>
    <mergeCell ref="E5:E6"/>
    <mergeCell ref="J5:K5"/>
    <mergeCell ref="L5:O5"/>
  </mergeCells>
  <printOptions horizontalCentered="1"/>
  <pageMargins left="0.15748031496062992" right="0.19685039370078741" top="0.15748031496062992" bottom="0.11811023622047245" header="0.31496062992125984" footer="0.11811023622047245"/>
  <pageSetup paperSize="9" scale="70" orientation="landscape" horizontalDpi="4294967293" r:id="rId1"/>
  <rowBreaks count="1" manualBreakCount="1">
    <brk id="32" max="1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317F-412C-4D16-A04C-6A634D089FDC}">
  <dimension ref="A1:R57"/>
  <sheetViews>
    <sheetView view="pageBreakPreview" zoomScale="70" zoomScaleNormal="90" zoomScaleSheetLayoutView="7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R59" sqref="R58:R59"/>
    </sheetView>
  </sheetViews>
  <sheetFormatPr defaultColWidth="9" defaultRowHeight="21.75"/>
  <cols>
    <col min="1" max="1" width="9" style="120"/>
    <col min="2" max="2" width="26" style="1" bestFit="1" customWidth="1"/>
    <col min="3" max="3" width="18.42578125" style="1" bestFit="1" customWidth="1"/>
    <col min="4" max="4" width="22.140625" style="2" customWidth="1"/>
    <col min="5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" style="1" hidden="1" customWidth="1"/>
    <col min="14" max="14" width="14.140625" style="1" bestFit="1" customWidth="1"/>
    <col min="15" max="15" width="11.85546875" style="168" bestFit="1" customWidth="1"/>
    <col min="16" max="16" width="14.42578125" style="1" bestFit="1" customWidth="1"/>
    <col min="17" max="17" width="12.425781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184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48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21" t="s">
        <v>161</v>
      </c>
      <c r="R5" s="376" t="s">
        <v>12</v>
      </c>
    </row>
    <row r="6" spans="1:18" ht="44.25" thickBot="1">
      <c r="A6" s="415"/>
      <c r="B6" s="383"/>
      <c r="C6" s="385"/>
      <c r="D6" s="42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160</v>
      </c>
      <c r="O6" s="164" t="s">
        <v>150</v>
      </c>
      <c r="P6" s="396"/>
      <c r="Q6" s="421"/>
      <c r="R6" s="377"/>
    </row>
    <row r="7" spans="1:18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03">
        <v>14600</v>
      </c>
      <c r="G7" s="107"/>
      <c r="H7" s="107"/>
      <c r="I7" s="107"/>
      <c r="J7" s="107"/>
      <c r="K7" s="107"/>
      <c r="L7" s="109"/>
      <c r="M7" s="103"/>
      <c r="N7" s="103">
        <f>ROUND(F7*2.5%,0)</f>
        <v>365</v>
      </c>
      <c r="O7" s="98"/>
      <c r="P7" s="103">
        <f>SUM(F7-N7-O7)</f>
        <v>14235</v>
      </c>
      <c r="Q7" s="116">
        <f>ROUND(F7*2.5%,0)</f>
        <v>365</v>
      </c>
      <c r="R7" s="152"/>
    </row>
    <row r="8" spans="1:18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03">
        <v>13500</v>
      </c>
      <c r="G8" s="107"/>
      <c r="H8" s="107"/>
      <c r="I8" s="107"/>
      <c r="J8" s="107"/>
      <c r="K8" s="107"/>
      <c r="L8" s="109"/>
      <c r="M8" s="103"/>
      <c r="N8" s="103">
        <f t="shared" ref="N8:N50" si="0">ROUND(F8*2.5%,0)</f>
        <v>338</v>
      </c>
      <c r="O8" s="98"/>
      <c r="P8" s="103">
        <f t="shared" ref="P8:P51" si="1">SUM(F8-N8-O8)</f>
        <v>13162</v>
      </c>
      <c r="Q8" s="116">
        <f t="shared" ref="Q8:Q50" si="2">ROUND(F8*2.5%,0)</f>
        <v>338</v>
      </c>
      <c r="R8" s="100"/>
    </row>
    <row r="9" spans="1:18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03">
        <v>13400</v>
      </c>
      <c r="G9" s="107"/>
      <c r="H9" s="107"/>
      <c r="I9" s="107"/>
      <c r="J9" s="107"/>
      <c r="K9" s="107"/>
      <c r="L9" s="109"/>
      <c r="M9" s="103"/>
      <c r="N9" s="103">
        <f t="shared" si="0"/>
        <v>335</v>
      </c>
      <c r="O9" s="98"/>
      <c r="P9" s="103">
        <f t="shared" si="1"/>
        <v>13065</v>
      </c>
      <c r="Q9" s="116">
        <f t="shared" si="2"/>
        <v>335</v>
      </c>
      <c r="R9" s="100"/>
    </row>
    <row r="10" spans="1:18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03">
        <v>16500</v>
      </c>
      <c r="G10" s="107"/>
      <c r="H10" s="107"/>
      <c r="I10" s="107"/>
      <c r="J10" s="107"/>
      <c r="K10" s="107"/>
      <c r="L10" s="109"/>
      <c r="M10" s="103"/>
      <c r="N10" s="103">
        <v>375</v>
      </c>
      <c r="O10" s="98">
        <v>651</v>
      </c>
      <c r="P10" s="103">
        <f t="shared" si="1"/>
        <v>15474</v>
      </c>
      <c r="Q10" s="116">
        <v>375</v>
      </c>
      <c r="R10" s="100"/>
    </row>
    <row r="11" spans="1:18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03">
        <v>17300</v>
      </c>
      <c r="G11" s="107"/>
      <c r="H11" s="107"/>
      <c r="I11" s="107"/>
      <c r="J11" s="107"/>
      <c r="K11" s="107"/>
      <c r="L11" s="109"/>
      <c r="M11" s="103"/>
      <c r="N11" s="103">
        <v>375</v>
      </c>
      <c r="O11" s="98"/>
      <c r="P11" s="103">
        <f t="shared" si="1"/>
        <v>16925</v>
      </c>
      <c r="Q11" s="116">
        <v>375</v>
      </c>
      <c r="R11" s="100"/>
    </row>
    <row r="12" spans="1:18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03">
        <v>19000</v>
      </c>
      <c r="G12" s="107"/>
      <c r="H12" s="107"/>
      <c r="I12" s="107"/>
      <c r="J12" s="107"/>
      <c r="K12" s="107"/>
      <c r="L12" s="109"/>
      <c r="M12" s="103"/>
      <c r="N12" s="103">
        <v>375</v>
      </c>
      <c r="O12" s="98"/>
      <c r="P12" s="103">
        <f t="shared" si="1"/>
        <v>18625</v>
      </c>
      <c r="Q12" s="116">
        <v>375</v>
      </c>
      <c r="R12" s="100"/>
    </row>
    <row r="13" spans="1:18" s="110" customFormat="1">
      <c r="A13" s="117">
        <v>7</v>
      </c>
      <c r="B13" s="106" t="s">
        <v>38</v>
      </c>
      <c r="C13" s="107" t="s">
        <v>39</v>
      </c>
      <c r="D13" s="97">
        <v>1361200122408</v>
      </c>
      <c r="E13" s="107" t="s">
        <v>32</v>
      </c>
      <c r="F13" s="103">
        <v>25000</v>
      </c>
      <c r="G13" s="107"/>
      <c r="H13" s="107"/>
      <c r="I13" s="107"/>
      <c r="J13" s="107"/>
      <c r="K13" s="107"/>
      <c r="L13" s="109"/>
      <c r="M13" s="103"/>
      <c r="N13" s="103">
        <v>375</v>
      </c>
      <c r="O13" s="98">
        <v>1476</v>
      </c>
      <c r="P13" s="103">
        <f t="shared" si="1"/>
        <v>23149</v>
      </c>
      <c r="Q13" s="116">
        <v>375</v>
      </c>
      <c r="R13" s="100"/>
    </row>
    <row r="14" spans="1:18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03">
        <v>20500</v>
      </c>
      <c r="G14" s="107"/>
      <c r="H14" s="107"/>
      <c r="I14" s="107"/>
      <c r="J14" s="107"/>
      <c r="K14" s="107"/>
      <c r="L14" s="109"/>
      <c r="M14" s="103"/>
      <c r="N14" s="103">
        <v>375</v>
      </c>
      <c r="O14" s="98">
        <v>705</v>
      </c>
      <c r="P14" s="103">
        <f t="shared" si="1"/>
        <v>19420</v>
      </c>
      <c r="Q14" s="116">
        <v>375</v>
      </c>
      <c r="R14" s="100"/>
    </row>
    <row r="15" spans="1:18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03">
        <v>25000</v>
      </c>
      <c r="G15" s="107"/>
      <c r="H15" s="107"/>
      <c r="I15" s="107"/>
      <c r="J15" s="107"/>
      <c r="K15" s="107"/>
      <c r="L15" s="109"/>
      <c r="M15" s="103"/>
      <c r="N15" s="103">
        <v>375</v>
      </c>
      <c r="O15" s="98"/>
      <c r="P15" s="103">
        <f t="shared" si="1"/>
        <v>24625</v>
      </c>
      <c r="Q15" s="116">
        <v>375</v>
      </c>
      <c r="R15" s="100"/>
    </row>
    <row r="16" spans="1:18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03">
        <v>19700</v>
      </c>
      <c r="G16" s="107"/>
      <c r="H16" s="107"/>
      <c r="I16" s="107"/>
      <c r="J16" s="107"/>
      <c r="K16" s="107"/>
      <c r="L16" s="109"/>
      <c r="M16" s="103"/>
      <c r="N16" s="103">
        <v>375</v>
      </c>
      <c r="O16" s="98"/>
      <c r="P16" s="103">
        <f t="shared" si="1"/>
        <v>19325</v>
      </c>
      <c r="Q16" s="116">
        <v>375</v>
      </c>
      <c r="R16" s="100"/>
    </row>
    <row r="17" spans="1:18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03">
        <v>17600</v>
      </c>
      <c r="G17" s="107"/>
      <c r="H17" s="107"/>
      <c r="I17" s="107"/>
      <c r="J17" s="107"/>
      <c r="K17" s="107"/>
      <c r="L17" s="109"/>
      <c r="M17" s="103"/>
      <c r="N17" s="103">
        <v>375</v>
      </c>
      <c r="O17" s="98"/>
      <c r="P17" s="103">
        <f t="shared" si="1"/>
        <v>17225</v>
      </c>
      <c r="Q17" s="116">
        <v>375</v>
      </c>
      <c r="R17" s="100"/>
    </row>
    <row r="18" spans="1:18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03">
        <v>25000</v>
      </c>
      <c r="G18" s="107"/>
      <c r="H18" s="107"/>
      <c r="I18" s="107"/>
      <c r="J18" s="107"/>
      <c r="K18" s="107"/>
      <c r="L18" s="109"/>
      <c r="M18" s="103"/>
      <c r="N18" s="103">
        <v>375</v>
      </c>
      <c r="O18" s="98"/>
      <c r="P18" s="103">
        <f t="shared" si="1"/>
        <v>24625</v>
      </c>
      <c r="Q18" s="116">
        <v>375</v>
      </c>
      <c r="R18" s="100"/>
    </row>
    <row r="19" spans="1:18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03">
        <v>22700</v>
      </c>
      <c r="G19" s="107"/>
      <c r="H19" s="107"/>
      <c r="I19" s="107"/>
      <c r="J19" s="107"/>
      <c r="K19" s="107"/>
      <c r="L19" s="109"/>
      <c r="M19" s="103"/>
      <c r="N19" s="103">
        <v>375</v>
      </c>
      <c r="O19" s="98"/>
      <c r="P19" s="103">
        <f t="shared" si="1"/>
        <v>22325</v>
      </c>
      <c r="Q19" s="116">
        <v>375</v>
      </c>
      <c r="R19" s="100"/>
    </row>
    <row r="20" spans="1:18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03">
        <v>23500</v>
      </c>
      <c r="G20" s="107"/>
      <c r="H20" s="107"/>
      <c r="I20" s="107"/>
      <c r="J20" s="107"/>
      <c r="K20" s="107"/>
      <c r="L20" s="109"/>
      <c r="M20" s="103"/>
      <c r="N20" s="103">
        <v>375</v>
      </c>
      <c r="O20" s="98"/>
      <c r="P20" s="103">
        <f t="shared" si="1"/>
        <v>23125</v>
      </c>
      <c r="Q20" s="116">
        <v>375</v>
      </c>
      <c r="R20" s="100"/>
    </row>
    <row r="21" spans="1:18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03">
        <v>25000</v>
      </c>
      <c r="G21" s="107"/>
      <c r="H21" s="107"/>
      <c r="I21" s="107"/>
      <c r="J21" s="107"/>
      <c r="K21" s="107"/>
      <c r="L21" s="109"/>
      <c r="M21" s="103"/>
      <c r="N21" s="103">
        <v>375</v>
      </c>
      <c r="O21" s="98"/>
      <c r="P21" s="103">
        <f t="shared" si="1"/>
        <v>24625</v>
      </c>
      <c r="Q21" s="116">
        <v>375</v>
      </c>
      <c r="R21" s="100"/>
    </row>
    <row r="22" spans="1:18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03">
        <v>25000</v>
      </c>
      <c r="G22" s="107"/>
      <c r="H22" s="107"/>
      <c r="I22" s="107"/>
      <c r="J22" s="107"/>
      <c r="K22" s="107"/>
      <c r="L22" s="109"/>
      <c r="M22" s="103"/>
      <c r="N22" s="103">
        <v>375</v>
      </c>
      <c r="O22" s="98"/>
      <c r="P22" s="103">
        <f t="shared" si="1"/>
        <v>24625</v>
      </c>
      <c r="Q22" s="116">
        <v>375</v>
      </c>
      <c r="R22" s="100"/>
    </row>
    <row r="23" spans="1:18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03">
        <v>25000</v>
      </c>
      <c r="G23" s="107"/>
      <c r="H23" s="107"/>
      <c r="I23" s="107"/>
      <c r="J23" s="107"/>
      <c r="K23" s="107"/>
      <c r="L23" s="109"/>
      <c r="M23" s="103"/>
      <c r="N23" s="103">
        <v>375</v>
      </c>
      <c r="O23" s="98"/>
      <c r="P23" s="103">
        <f t="shared" si="1"/>
        <v>24625</v>
      </c>
      <c r="Q23" s="116">
        <v>375</v>
      </c>
      <c r="R23" s="100"/>
    </row>
    <row r="24" spans="1:18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03">
        <v>25000</v>
      </c>
      <c r="G24" s="107"/>
      <c r="H24" s="107"/>
      <c r="I24" s="107"/>
      <c r="J24" s="107"/>
      <c r="K24" s="107"/>
      <c r="L24" s="109"/>
      <c r="M24" s="103"/>
      <c r="N24" s="103">
        <v>375</v>
      </c>
      <c r="O24" s="98"/>
      <c r="P24" s="103">
        <f t="shared" si="1"/>
        <v>24625</v>
      </c>
      <c r="Q24" s="116">
        <v>375</v>
      </c>
      <c r="R24" s="100"/>
    </row>
    <row r="25" spans="1:18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03">
        <v>25000</v>
      </c>
      <c r="G25" s="107"/>
      <c r="H25" s="107"/>
      <c r="I25" s="107"/>
      <c r="J25" s="107"/>
      <c r="K25" s="107"/>
      <c r="L25" s="109"/>
      <c r="M25" s="103"/>
      <c r="N25" s="103">
        <v>375</v>
      </c>
      <c r="O25" s="98"/>
      <c r="P25" s="103">
        <f t="shared" si="1"/>
        <v>24625</v>
      </c>
      <c r="Q25" s="116">
        <v>375</v>
      </c>
      <c r="R25" s="100"/>
    </row>
    <row r="26" spans="1:18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03">
        <v>25000</v>
      </c>
      <c r="G26" s="107"/>
      <c r="H26" s="107"/>
      <c r="I26" s="107"/>
      <c r="J26" s="107"/>
      <c r="K26" s="107"/>
      <c r="L26" s="109"/>
      <c r="M26" s="103"/>
      <c r="N26" s="103">
        <v>375</v>
      </c>
      <c r="O26" s="98"/>
      <c r="P26" s="103">
        <f t="shared" si="1"/>
        <v>24625</v>
      </c>
      <c r="Q26" s="116">
        <v>375</v>
      </c>
      <c r="R26" s="100"/>
    </row>
    <row r="27" spans="1:18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24">
        <f>+H27*I27</f>
        <v>9400</v>
      </c>
      <c r="G27" s="123"/>
      <c r="H27" s="123">
        <v>400</v>
      </c>
      <c r="I27" s="123">
        <v>23.5</v>
      </c>
      <c r="J27" s="123"/>
      <c r="K27" s="123"/>
      <c r="L27" s="126"/>
      <c r="M27" s="124"/>
      <c r="N27" s="124">
        <f t="shared" si="0"/>
        <v>235</v>
      </c>
      <c r="O27" s="135"/>
      <c r="P27" s="124">
        <f t="shared" si="1"/>
        <v>9165</v>
      </c>
      <c r="Q27" s="128">
        <f t="shared" si="2"/>
        <v>235</v>
      </c>
      <c r="R27" s="124"/>
    </row>
    <row r="28" spans="1:18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24">
        <f>+H28*I28</f>
        <v>8640</v>
      </c>
      <c r="G28" s="123"/>
      <c r="H28" s="123">
        <v>360</v>
      </c>
      <c r="I28" s="123">
        <v>24</v>
      </c>
      <c r="J28" s="123"/>
      <c r="K28" s="123"/>
      <c r="L28" s="126"/>
      <c r="M28" s="124"/>
      <c r="N28" s="124">
        <f t="shared" si="0"/>
        <v>216</v>
      </c>
      <c r="O28" s="135"/>
      <c r="P28" s="124">
        <f t="shared" si="1"/>
        <v>8424</v>
      </c>
      <c r="Q28" s="128">
        <f t="shared" si="2"/>
        <v>216</v>
      </c>
      <c r="R28" s="124"/>
    </row>
    <row r="29" spans="1:18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03">
        <v>25000</v>
      </c>
      <c r="G29" s="107"/>
      <c r="H29" s="107"/>
      <c r="I29" s="107"/>
      <c r="J29" s="107"/>
      <c r="K29" s="107"/>
      <c r="L29" s="109"/>
      <c r="M29" s="103"/>
      <c r="N29" s="103">
        <v>375</v>
      </c>
      <c r="O29" s="98"/>
      <c r="P29" s="103">
        <f t="shared" si="1"/>
        <v>24625</v>
      </c>
      <c r="Q29" s="98">
        <v>375</v>
      </c>
      <c r="R29" s="100"/>
    </row>
    <row r="30" spans="1:18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03">
        <v>15500</v>
      </c>
      <c r="G30" s="113" t="s">
        <v>80</v>
      </c>
      <c r="H30" s="107"/>
      <c r="I30" s="107"/>
      <c r="J30" s="107"/>
      <c r="K30" s="107"/>
      <c r="L30" s="109"/>
      <c r="M30" s="103"/>
      <c r="N30" s="103">
        <v>375</v>
      </c>
      <c r="O30" s="98"/>
      <c r="P30" s="103">
        <f t="shared" si="1"/>
        <v>15125</v>
      </c>
      <c r="Q30" s="116">
        <v>375</v>
      </c>
      <c r="R30" s="100"/>
    </row>
    <row r="31" spans="1:18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98">
        <v>15500</v>
      </c>
      <c r="G31" s="113" t="s">
        <v>83</v>
      </c>
      <c r="H31" s="95"/>
      <c r="I31" s="95"/>
      <c r="J31" s="95"/>
      <c r="K31" s="95"/>
      <c r="L31" s="109"/>
      <c r="M31" s="103"/>
      <c r="N31" s="103">
        <v>375</v>
      </c>
      <c r="O31" s="98"/>
      <c r="P31" s="103">
        <f t="shared" si="1"/>
        <v>15125</v>
      </c>
      <c r="Q31" s="116">
        <v>375</v>
      </c>
      <c r="R31" s="100"/>
    </row>
    <row r="32" spans="1:18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03">
        <v>25000</v>
      </c>
      <c r="G32" s="108" t="s">
        <v>88</v>
      </c>
      <c r="H32" s="107"/>
      <c r="I32" s="107"/>
      <c r="J32" s="107"/>
      <c r="K32" s="107"/>
      <c r="L32" s="109"/>
      <c r="M32" s="103"/>
      <c r="N32" s="103">
        <v>375</v>
      </c>
      <c r="O32" s="98"/>
      <c r="P32" s="103">
        <f t="shared" si="1"/>
        <v>24625</v>
      </c>
      <c r="Q32" s="116">
        <v>375</v>
      </c>
      <c r="R32" s="102"/>
    </row>
    <row r="33" spans="1:18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24">
        <f>+H33*I33</f>
        <v>7980</v>
      </c>
      <c r="G33" s="125" t="s">
        <v>88</v>
      </c>
      <c r="H33" s="123">
        <v>380</v>
      </c>
      <c r="I33" s="123">
        <v>21</v>
      </c>
      <c r="J33" s="123"/>
      <c r="K33" s="123"/>
      <c r="L33" s="126"/>
      <c r="M33" s="124"/>
      <c r="N33" s="124">
        <f>ROUND(F33*2.5%,0)</f>
        <v>200</v>
      </c>
      <c r="O33" s="135"/>
      <c r="P33" s="124">
        <f t="shared" si="1"/>
        <v>7780</v>
      </c>
      <c r="Q33" s="128">
        <f t="shared" si="2"/>
        <v>200</v>
      </c>
      <c r="R33" s="127"/>
    </row>
    <row r="34" spans="1:18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03">
        <v>16200</v>
      </c>
      <c r="G34" s="108" t="s">
        <v>93</v>
      </c>
      <c r="H34" s="107"/>
      <c r="I34" s="107"/>
      <c r="J34" s="107"/>
      <c r="K34" s="107"/>
      <c r="L34" s="109"/>
      <c r="M34" s="103"/>
      <c r="N34" s="103">
        <v>375</v>
      </c>
      <c r="O34" s="98"/>
      <c r="P34" s="103">
        <f t="shared" si="1"/>
        <v>15825</v>
      </c>
      <c r="Q34" s="116">
        <v>375</v>
      </c>
      <c r="R34" s="100"/>
    </row>
    <row r="35" spans="1:18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24">
        <f>H35*I35</f>
        <v>7920</v>
      </c>
      <c r="G35" s="125" t="s">
        <v>96</v>
      </c>
      <c r="H35" s="123">
        <v>330</v>
      </c>
      <c r="I35" s="123">
        <v>24</v>
      </c>
      <c r="J35" s="123"/>
      <c r="K35" s="123"/>
      <c r="L35" s="126"/>
      <c r="M35" s="124"/>
      <c r="N35" s="124">
        <f t="shared" si="0"/>
        <v>198</v>
      </c>
      <c r="O35" s="135"/>
      <c r="P35" s="124">
        <f t="shared" si="1"/>
        <v>7722</v>
      </c>
      <c r="Q35" s="128">
        <f t="shared" si="2"/>
        <v>198</v>
      </c>
      <c r="R35" s="127"/>
    </row>
    <row r="36" spans="1:18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24">
        <f t="shared" ref="F36:F42" si="3">H36*I36</f>
        <v>7920</v>
      </c>
      <c r="G36" s="125" t="s">
        <v>96</v>
      </c>
      <c r="H36" s="123">
        <v>330</v>
      </c>
      <c r="I36" s="123">
        <v>24</v>
      </c>
      <c r="J36" s="123"/>
      <c r="K36" s="123"/>
      <c r="L36" s="126"/>
      <c r="M36" s="124"/>
      <c r="N36" s="124">
        <f t="shared" si="0"/>
        <v>198</v>
      </c>
      <c r="O36" s="135"/>
      <c r="P36" s="124">
        <f t="shared" si="1"/>
        <v>7722</v>
      </c>
      <c r="Q36" s="128">
        <f t="shared" si="2"/>
        <v>198</v>
      </c>
      <c r="R36" s="127"/>
    </row>
    <row r="37" spans="1:18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24">
        <f t="shared" si="3"/>
        <v>7590</v>
      </c>
      <c r="G37" s="125" t="s">
        <v>96</v>
      </c>
      <c r="H37" s="123">
        <v>330</v>
      </c>
      <c r="I37" s="123">
        <v>23</v>
      </c>
      <c r="J37" s="123"/>
      <c r="K37" s="123"/>
      <c r="L37" s="126"/>
      <c r="M37" s="124"/>
      <c r="N37" s="124">
        <f t="shared" si="0"/>
        <v>190</v>
      </c>
      <c r="O37" s="135"/>
      <c r="P37" s="124">
        <f t="shared" si="1"/>
        <v>7400</v>
      </c>
      <c r="Q37" s="128">
        <f t="shared" si="2"/>
        <v>190</v>
      </c>
      <c r="R37" s="124"/>
    </row>
    <row r="38" spans="1:18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24">
        <f t="shared" si="3"/>
        <v>7920</v>
      </c>
      <c r="G38" s="125" t="s">
        <v>96</v>
      </c>
      <c r="H38" s="123">
        <v>330</v>
      </c>
      <c r="I38" s="123">
        <v>24</v>
      </c>
      <c r="J38" s="123"/>
      <c r="K38" s="123"/>
      <c r="L38" s="126"/>
      <c r="M38" s="124"/>
      <c r="N38" s="124">
        <f t="shared" si="0"/>
        <v>198</v>
      </c>
      <c r="O38" s="135"/>
      <c r="P38" s="124">
        <f t="shared" si="1"/>
        <v>7722</v>
      </c>
      <c r="Q38" s="128">
        <f t="shared" si="2"/>
        <v>198</v>
      </c>
      <c r="R38" s="124"/>
    </row>
    <row r="39" spans="1:18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24">
        <f t="shared" si="3"/>
        <v>9200</v>
      </c>
      <c r="G39" s="133" t="s">
        <v>107</v>
      </c>
      <c r="H39" s="132">
        <v>400</v>
      </c>
      <c r="I39" s="132">
        <v>23</v>
      </c>
      <c r="J39" s="132"/>
      <c r="K39" s="132"/>
      <c r="L39" s="134"/>
      <c r="M39" s="135"/>
      <c r="N39" s="124">
        <f t="shared" si="0"/>
        <v>230</v>
      </c>
      <c r="O39" s="135"/>
      <c r="P39" s="124">
        <f t="shared" si="1"/>
        <v>8970</v>
      </c>
      <c r="Q39" s="128">
        <f t="shared" si="2"/>
        <v>230</v>
      </c>
      <c r="R39" s="124"/>
    </row>
    <row r="40" spans="1:18" s="136" customFormat="1">
      <c r="A40" s="121">
        <v>34</v>
      </c>
      <c r="B40" s="131" t="s">
        <v>110</v>
      </c>
      <c r="C40" s="137">
        <v>6016300837717</v>
      </c>
      <c r="D40" s="137">
        <v>991019747856</v>
      </c>
      <c r="E40" s="132" t="s">
        <v>95</v>
      </c>
      <c r="F40" s="124">
        <f t="shared" si="3"/>
        <v>7920</v>
      </c>
      <c r="G40" s="133" t="s">
        <v>111</v>
      </c>
      <c r="H40" s="132">
        <v>330</v>
      </c>
      <c r="I40" s="132">
        <v>24</v>
      </c>
      <c r="J40" s="132"/>
      <c r="K40" s="132"/>
      <c r="L40" s="134"/>
      <c r="M40" s="135"/>
      <c r="N40" s="124">
        <f t="shared" si="0"/>
        <v>198</v>
      </c>
      <c r="O40" s="135"/>
      <c r="P40" s="124">
        <f t="shared" si="1"/>
        <v>7722</v>
      </c>
      <c r="Q40" s="128">
        <f t="shared" si="2"/>
        <v>198</v>
      </c>
      <c r="R40" s="124"/>
    </row>
    <row r="41" spans="1:18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24">
        <f t="shared" si="3"/>
        <v>7590</v>
      </c>
      <c r="G41" s="133" t="s">
        <v>111</v>
      </c>
      <c r="H41" s="132">
        <v>330</v>
      </c>
      <c r="I41" s="132">
        <v>23</v>
      </c>
      <c r="J41" s="132"/>
      <c r="K41" s="132"/>
      <c r="L41" s="134"/>
      <c r="M41" s="135"/>
      <c r="N41" s="124">
        <f t="shared" si="0"/>
        <v>190</v>
      </c>
      <c r="O41" s="135"/>
      <c r="P41" s="124">
        <f t="shared" si="1"/>
        <v>7400</v>
      </c>
      <c r="Q41" s="128">
        <f t="shared" si="2"/>
        <v>190</v>
      </c>
      <c r="R41" s="124"/>
    </row>
    <row r="42" spans="1:18" s="136" customFormat="1">
      <c r="A42" s="121">
        <v>36</v>
      </c>
      <c r="B42" s="131" t="s">
        <v>113</v>
      </c>
      <c r="C42" s="137">
        <v>6016300837750</v>
      </c>
      <c r="D42" s="137">
        <v>991019747686</v>
      </c>
      <c r="E42" s="132" t="s">
        <v>95</v>
      </c>
      <c r="F42" s="124">
        <f t="shared" si="3"/>
        <v>7590</v>
      </c>
      <c r="G42" s="133" t="s">
        <v>111</v>
      </c>
      <c r="H42" s="132">
        <v>330</v>
      </c>
      <c r="I42" s="132">
        <v>23</v>
      </c>
      <c r="J42" s="132"/>
      <c r="K42" s="132"/>
      <c r="L42" s="134"/>
      <c r="M42" s="135"/>
      <c r="N42" s="124">
        <f t="shared" si="0"/>
        <v>190</v>
      </c>
      <c r="O42" s="135"/>
      <c r="P42" s="124">
        <f t="shared" si="1"/>
        <v>7400</v>
      </c>
      <c r="Q42" s="128">
        <f t="shared" si="2"/>
        <v>190</v>
      </c>
      <c r="R42" s="132"/>
    </row>
    <row r="43" spans="1:18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03">
        <v>25000</v>
      </c>
      <c r="G43" s="112" t="s">
        <v>101</v>
      </c>
      <c r="H43" s="107"/>
      <c r="I43" s="107"/>
      <c r="J43" s="107"/>
      <c r="K43" s="107"/>
      <c r="L43" s="109"/>
      <c r="M43" s="103"/>
      <c r="N43" s="103">
        <v>375</v>
      </c>
      <c r="O43" s="98"/>
      <c r="P43" s="103">
        <f t="shared" si="1"/>
        <v>24625</v>
      </c>
      <c r="Q43" s="116">
        <v>375</v>
      </c>
      <c r="R43" s="100"/>
    </row>
    <row r="44" spans="1:18" s="129" customFormat="1">
      <c r="A44" s="121">
        <v>38</v>
      </c>
      <c r="B44" s="122" t="s">
        <v>102</v>
      </c>
      <c r="C44" s="130">
        <v>220062001228</v>
      </c>
      <c r="D44" s="137">
        <v>991017408884</v>
      </c>
      <c r="E44" s="123" t="s">
        <v>95</v>
      </c>
      <c r="F44" s="124">
        <f>+H44*I44</f>
        <v>7920</v>
      </c>
      <c r="G44" s="138" t="s">
        <v>106</v>
      </c>
      <c r="H44" s="123">
        <v>330</v>
      </c>
      <c r="I44" s="123">
        <v>24</v>
      </c>
      <c r="J44" s="123"/>
      <c r="K44" s="123"/>
      <c r="L44" s="126"/>
      <c r="M44" s="124"/>
      <c r="N44" s="124">
        <f t="shared" si="0"/>
        <v>198</v>
      </c>
      <c r="O44" s="135"/>
      <c r="P44" s="124">
        <f t="shared" si="1"/>
        <v>7722</v>
      </c>
      <c r="Q44" s="128">
        <f t="shared" si="2"/>
        <v>198</v>
      </c>
      <c r="R44" s="139"/>
    </row>
    <row r="45" spans="1:18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98">
        <v>12000</v>
      </c>
      <c r="G45" s="99" t="s">
        <v>115</v>
      </c>
      <c r="H45" s="100"/>
      <c r="I45" s="100"/>
      <c r="J45" s="100"/>
      <c r="K45" s="100"/>
      <c r="L45" s="101"/>
      <c r="M45" s="102"/>
      <c r="N45" s="103">
        <f t="shared" si="0"/>
        <v>300</v>
      </c>
      <c r="O45" s="98"/>
      <c r="P45" s="103">
        <f t="shared" si="1"/>
        <v>11700</v>
      </c>
      <c r="Q45" s="116">
        <f t="shared" si="2"/>
        <v>300</v>
      </c>
      <c r="R45" s="100"/>
    </row>
    <row r="46" spans="1:18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98">
        <v>15000</v>
      </c>
      <c r="G46" s="99" t="s">
        <v>119</v>
      </c>
      <c r="H46" s="95"/>
      <c r="I46" s="95"/>
      <c r="J46" s="95"/>
      <c r="K46" s="95"/>
      <c r="L46" s="115"/>
      <c r="M46" s="98"/>
      <c r="N46" s="103">
        <f t="shared" si="0"/>
        <v>375</v>
      </c>
      <c r="O46" s="98"/>
      <c r="P46" s="103">
        <f t="shared" si="1"/>
        <v>14625</v>
      </c>
      <c r="Q46" s="116">
        <f t="shared" si="2"/>
        <v>375</v>
      </c>
      <c r="R46" s="95"/>
    </row>
    <row r="47" spans="1:18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98">
        <v>15000</v>
      </c>
      <c r="G47" s="99" t="s">
        <v>119</v>
      </c>
      <c r="H47" s="95"/>
      <c r="I47" s="95"/>
      <c r="J47" s="95"/>
      <c r="K47" s="95"/>
      <c r="L47" s="115"/>
      <c r="M47" s="98"/>
      <c r="N47" s="103">
        <f t="shared" si="0"/>
        <v>375</v>
      </c>
      <c r="O47" s="98"/>
      <c r="P47" s="103">
        <f t="shared" si="1"/>
        <v>14625</v>
      </c>
      <c r="Q47" s="116">
        <f t="shared" si="2"/>
        <v>375</v>
      </c>
      <c r="R47" s="95"/>
    </row>
    <row r="48" spans="1:18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98">
        <v>15000</v>
      </c>
      <c r="G48" s="99" t="s">
        <v>119</v>
      </c>
      <c r="H48" s="95"/>
      <c r="I48" s="95"/>
      <c r="J48" s="95"/>
      <c r="K48" s="95"/>
      <c r="L48" s="115"/>
      <c r="M48" s="98"/>
      <c r="N48" s="103">
        <f t="shared" si="0"/>
        <v>375</v>
      </c>
      <c r="O48" s="98"/>
      <c r="P48" s="103">
        <f t="shared" si="1"/>
        <v>14625</v>
      </c>
      <c r="Q48" s="116">
        <f t="shared" si="2"/>
        <v>375</v>
      </c>
      <c r="R48" s="95"/>
    </row>
    <row r="49" spans="1:18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98">
        <v>15000</v>
      </c>
      <c r="G49" s="99" t="s">
        <v>119</v>
      </c>
      <c r="H49" s="95"/>
      <c r="I49" s="95"/>
      <c r="J49" s="95"/>
      <c r="K49" s="95"/>
      <c r="L49" s="115"/>
      <c r="M49" s="98"/>
      <c r="N49" s="103">
        <f t="shared" si="0"/>
        <v>375</v>
      </c>
      <c r="O49" s="98"/>
      <c r="P49" s="103">
        <f t="shared" si="1"/>
        <v>14625</v>
      </c>
      <c r="Q49" s="116">
        <f t="shared" si="2"/>
        <v>375</v>
      </c>
      <c r="R49" s="95"/>
    </row>
    <row r="50" spans="1:18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>
        <f>H50*I50</f>
        <v>8400</v>
      </c>
      <c r="G50" s="144" t="s">
        <v>139</v>
      </c>
      <c r="H50" s="143">
        <v>350</v>
      </c>
      <c r="I50" s="143">
        <v>24</v>
      </c>
      <c r="J50" s="143"/>
      <c r="K50" s="143"/>
      <c r="L50" s="145"/>
      <c r="M50" s="128"/>
      <c r="N50" s="124">
        <f t="shared" si="0"/>
        <v>210</v>
      </c>
      <c r="O50" s="128"/>
      <c r="P50" s="124">
        <f t="shared" si="1"/>
        <v>8190</v>
      </c>
      <c r="Q50" s="128">
        <f t="shared" si="2"/>
        <v>210</v>
      </c>
      <c r="R50" s="146"/>
    </row>
    <row r="51" spans="1:18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116">
        <v>23000</v>
      </c>
      <c r="G51" s="99" t="s">
        <v>164</v>
      </c>
      <c r="H51" s="95"/>
      <c r="I51" s="95"/>
      <c r="J51" s="183"/>
      <c r="K51" s="183"/>
      <c r="L51" s="184"/>
      <c r="M51" s="185"/>
      <c r="N51" s="103">
        <v>375</v>
      </c>
      <c r="O51" s="116"/>
      <c r="P51" s="103">
        <f t="shared" si="1"/>
        <v>22625</v>
      </c>
      <c r="Q51" s="116">
        <v>375</v>
      </c>
      <c r="R51" s="186"/>
    </row>
    <row r="52" spans="1:18" s="86" customFormat="1" ht="22.5" thickBot="1">
      <c r="A52" s="402" t="s">
        <v>103</v>
      </c>
      <c r="B52" s="402"/>
      <c r="C52" s="402"/>
      <c r="D52" s="402"/>
      <c r="E52" s="402"/>
      <c r="F52" s="89">
        <f>SUM(F7:F51)</f>
        <v>746490</v>
      </c>
      <c r="G52" s="87"/>
      <c r="H52" s="87"/>
      <c r="I52" s="87"/>
      <c r="J52" s="87"/>
      <c r="K52" s="87"/>
      <c r="L52" s="87"/>
      <c r="M52" s="87"/>
      <c r="N52" s="89">
        <f>SUM(N7:N51)</f>
        <v>14489</v>
      </c>
      <c r="O52" s="89">
        <f t="shared" ref="O52:Q52" si="4">SUM(O7:O51)</f>
        <v>2832</v>
      </c>
      <c r="P52" s="89">
        <f t="shared" si="4"/>
        <v>729169</v>
      </c>
      <c r="Q52" s="89">
        <f t="shared" si="4"/>
        <v>14489</v>
      </c>
      <c r="R52" s="88"/>
    </row>
    <row r="53" spans="1:18" ht="23.25" thickTop="1" thickBot="1">
      <c r="A53" s="119"/>
      <c r="B53" s="3"/>
      <c r="C53" s="3"/>
      <c r="D53" s="49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44.25" thickBot="1">
      <c r="A54" s="119"/>
      <c r="B54" s="50" t="s">
        <v>12</v>
      </c>
      <c r="C54" s="3"/>
      <c r="D54" s="49"/>
      <c r="E54" s="3"/>
      <c r="F54" s="39"/>
      <c r="G54" s="156" t="s">
        <v>145</v>
      </c>
      <c r="H54" s="39"/>
      <c r="I54" s="39"/>
      <c r="J54" s="39"/>
      <c r="K54" s="39"/>
      <c r="L54" s="39"/>
      <c r="M54" s="28" t="s">
        <v>158</v>
      </c>
      <c r="N54" s="153" t="s">
        <v>159</v>
      </c>
      <c r="O54" s="164" t="s">
        <v>150</v>
      </c>
      <c r="P54" s="153" t="s">
        <v>11</v>
      </c>
      <c r="R54" s="5"/>
    </row>
    <row r="55" spans="1:18">
      <c r="A55" s="119"/>
      <c r="B55" s="52" t="s">
        <v>156</v>
      </c>
      <c r="C55" s="149">
        <v>0</v>
      </c>
      <c r="D55" s="301"/>
      <c r="E55" s="54" t="s">
        <v>142</v>
      </c>
      <c r="F55" s="55" t="s">
        <v>140</v>
      </c>
      <c r="G55" s="170" t="s">
        <v>141</v>
      </c>
      <c r="H55" s="170">
        <v>13</v>
      </c>
      <c r="I55" s="171" t="s">
        <v>142</v>
      </c>
      <c r="J55" s="148"/>
      <c r="K55" s="148"/>
      <c r="M55" s="16">
        <f>+F27+F28+F33+F35+F36+F37+F38+F39+F40+F41+F42+F44+F50</f>
        <v>105990</v>
      </c>
      <c r="N55" s="16">
        <f>+N27+N28+N33+N35+N36+N37+N38+N39+N40+N41+N42+N44+N50</f>
        <v>2651</v>
      </c>
      <c r="O55" s="24">
        <v>0</v>
      </c>
      <c r="P55" s="175">
        <f>+P27+P28+P33+P35+P36+P37+P38+P39+P40+P41+P42+P44+P50</f>
        <v>103339</v>
      </c>
      <c r="R55" s="5"/>
    </row>
    <row r="56" spans="1:18">
      <c r="A56" s="119"/>
      <c r="B56" s="56" t="s">
        <v>137</v>
      </c>
      <c r="C56" s="150">
        <v>0</v>
      </c>
      <c r="D56" s="118"/>
      <c r="E56" s="6" t="s">
        <v>142</v>
      </c>
      <c r="F56" s="190" t="s">
        <v>162</v>
      </c>
      <c r="G56" s="173" t="s">
        <v>144</v>
      </c>
      <c r="H56" s="173">
        <v>32</v>
      </c>
      <c r="I56" s="174" t="s">
        <v>142</v>
      </c>
      <c r="J56" s="148"/>
      <c r="K56" s="148"/>
      <c r="M56" s="16">
        <f>+F7+F8+F9+F10+F11+F12+F13+F14+F15+F16+F17+F18+F19+F20+F21+F22+F23+F24+F25+F26+F29+F30+F31+F32+F34+F43+F45+F46+F47+F48+F49</f>
        <v>617500</v>
      </c>
      <c r="N56" s="16">
        <f>+N7+N8+N9+N10+N11+N12+N13+N14+N15+N16+N17+N18+N19+N20+N21+N22+N23+N24+N25+N26+N29+N30+N31+N32+N34+N43+N45+N46+N47+N48+N49+N51</f>
        <v>11838</v>
      </c>
      <c r="O56" s="24">
        <f>+O10+O13+O14</f>
        <v>2832</v>
      </c>
      <c r="P56" s="16">
        <f>+P7+P8+P9+P10+P11+P12+P13+P14+P15+P16+P17+P18+P19+P20+P21+P22+P23+P24+P25+P26+P29+P30+P31+P32+P34+P43+P45+P46+P47+P48+P49+P51</f>
        <v>625830</v>
      </c>
      <c r="R56" s="5"/>
    </row>
    <row r="57" spans="1:18" ht="22.5" thickBot="1">
      <c r="A57" s="119"/>
      <c r="B57" s="419"/>
      <c r="C57" s="420"/>
      <c r="D57" s="300"/>
      <c r="E57" s="187"/>
      <c r="F57" s="188"/>
      <c r="G57" s="189" t="s">
        <v>147</v>
      </c>
      <c r="H57" s="69">
        <f>SUM(H55:H56)</f>
        <v>45</v>
      </c>
      <c r="I57" s="155" t="s">
        <v>142</v>
      </c>
      <c r="J57" s="154"/>
      <c r="K57" s="154"/>
      <c r="M57" s="176">
        <f>SUM(M55:M56)</f>
        <v>723490</v>
      </c>
      <c r="N57" s="176">
        <f>SUM(N55:N56)</f>
        <v>14489</v>
      </c>
      <c r="O57" s="177">
        <f>SUM(O55:O56)</f>
        <v>2832</v>
      </c>
      <c r="P57" s="176">
        <f>SUM(P55:P56)</f>
        <v>729169</v>
      </c>
    </row>
  </sheetData>
  <mergeCells count="18">
    <mergeCell ref="B57:C57"/>
    <mergeCell ref="D5:D6"/>
    <mergeCell ref="J5:K5"/>
    <mergeCell ref="L5:O5"/>
    <mergeCell ref="P5:P6"/>
    <mergeCell ref="Q5:Q6"/>
    <mergeCell ref="R5:R6"/>
    <mergeCell ref="A52:E52"/>
    <mergeCell ref="A1:R1"/>
    <mergeCell ref="A2:R2"/>
    <mergeCell ref="A3:R3"/>
    <mergeCell ref="A5:A6"/>
    <mergeCell ref="B5:B6"/>
    <mergeCell ref="C5:C6"/>
    <mergeCell ref="E5:E6"/>
    <mergeCell ref="F5:F6"/>
    <mergeCell ref="G5:G6"/>
    <mergeCell ref="H5:I5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70" orientation="landscape" horizontalDpi="4294967293" r:id="rId1"/>
  <rowBreaks count="1" manualBreakCount="1">
    <brk id="2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408C-D2C0-4B65-B933-0E2DDA2A1C9C}">
  <dimension ref="A1:S62"/>
  <sheetViews>
    <sheetView view="pageBreakPreview" zoomScale="70" zoomScaleNormal="90" zoomScaleSheetLayoutView="70" workbookViewId="0">
      <pane xSplit="7" ySplit="6" topLeftCell="H50" activePane="bottomRight" state="frozen"/>
      <selection pane="topRight" activeCell="G1" sqref="G1"/>
      <selection pane="bottomLeft" activeCell="A7" sqref="A7"/>
      <selection pane="bottomRight" activeCell="C60" sqref="C60"/>
    </sheetView>
  </sheetViews>
  <sheetFormatPr defaultColWidth="9" defaultRowHeight="21.75"/>
  <cols>
    <col min="1" max="1" width="9" style="120"/>
    <col min="2" max="2" width="26" style="1" bestFit="1" customWidth="1"/>
    <col min="3" max="3" width="18.42578125" style="1" bestFit="1" customWidth="1"/>
    <col min="4" max="4" width="22.140625" style="2" customWidth="1"/>
    <col min="5" max="6" width="17.5703125" style="1" customWidth="1"/>
    <col min="7" max="7" width="12.28515625" style="1" bestFit="1" customWidth="1"/>
    <col min="8" max="8" width="14.7109375" style="1" bestFit="1" customWidth="1"/>
    <col min="9" max="9" width="5" style="1" bestFit="1" customWidth="1"/>
    <col min="10" max="10" width="7.7109375" style="1" bestFit="1" customWidth="1"/>
    <col min="11" max="11" width="4" style="1" hidden="1" customWidth="1"/>
    <col min="12" max="12" width="7" style="1" hidden="1" customWidth="1"/>
    <col min="13" max="13" width="6.85546875" style="1" hidden="1" customWidth="1"/>
    <col min="14" max="14" width="10.42578125" style="1" bestFit="1" customWidth="1"/>
    <col min="15" max="15" width="13" style="1" bestFit="1" customWidth="1"/>
    <col min="16" max="16" width="11.85546875" style="168" bestFit="1" customWidth="1"/>
    <col min="17" max="17" width="14.42578125" style="1" bestFit="1" customWidth="1"/>
    <col min="18" max="18" width="12.42578125" style="76" bestFit="1" customWidth="1"/>
    <col min="19" max="19" width="26.85546875" style="1" bestFit="1" customWidth="1"/>
    <col min="20" max="16384" width="9" style="1"/>
  </cols>
  <sheetData>
    <row r="1" spans="1:19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</row>
    <row r="2" spans="1:19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</row>
    <row r="3" spans="1:19">
      <c r="A3" s="381" t="s">
        <v>184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</row>
    <row r="4" spans="1:19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"/>
      <c r="N4" s="9"/>
      <c r="O4" s="9"/>
      <c r="P4" s="163"/>
      <c r="Q4" s="9"/>
      <c r="S4" s="9"/>
    </row>
    <row r="5" spans="1:19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393"/>
      <c r="M5" s="411" t="s">
        <v>10</v>
      </c>
      <c r="N5" s="412"/>
      <c r="O5" s="412"/>
      <c r="P5" s="413"/>
      <c r="Q5" s="395" t="s">
        <v>11</v>
      </c>
      <c r="R5" s="421" t="s">
        <v>161</v>
      </c>
      <c r="S5" s="376" t="s">
        <v>12</v>
      </c>
    </row>
    <row r="6" spans="1:19" ht="66" thickBot="1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12" t="s">
        <v>16</v>
      </c>
      <c r="M6" s="11" t="s">
        <v>17</v>
      </c>
      <c r="N6" s="11" t="s">
        <v>18</v>
      </c>
      <c r="O6" s="153" t="s">
        <v>160</v>
      </c>
      <c r="P6" s="164" t="s">
        <v>150</v>
      </c>
      <c r="Q6" s="396"/>
      <c r="R6" s="421"/>
      <c r="S6" s="377"/>
    </row>
    <row r="7" spans="1:19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14600</v>
      </c>
      <c r="H7" s="107"/>
      <c r="I7" s="107"/>
      <c r="J7" s="107"/>
      <c r="K7" s="107"/>
      <c r="L7" s="107"/>
      <c r="M7" s="109"/>
      <c r="N7" s="103"/>
      <c r="O7" s="103">
        <f>ROUND(G7*2.5%,0)</f>
        <v>365</v>
      </c>
      <c r="P7" s="98"/>
      <c r="Q7" s="103">
        <f>SUM(G7-O7-P7)</f>
        <v>14235</v>
      </c>
      <c r="R7" s="116">
        <f>ROUND(G7*2.5%,0)</f>
        <v>365</v>
      </c>
      <c r="S7" s="152"/>
    </row>
    <row r="8" spans="1:19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13500</v>
      </c>
      <c r="H8" s="107"/>
      <c r="I8" s="107"/>
      <c r="J8" s="107"/>
      <c r="K8" s="107"/>
      <c r="L8" s="107"/>
      <c r="M8" s="109"/>
      <c r="N8" s="103"/>
      <c r="O8" s="103">
        <f t="shared" ref="O8:O50" si="0">ROUND(G8*2.5%,0)</f>
        <v>338</v>
      </c>
      <c r="P8" s="98"/>
      <c r="Q8" s="103">
        <f t="shared" ref="Q8:Q51" si="1">SUM(G8-O8-P8)</f>
        <v>13162</v>
      </c>
      <c r="R8" s="116">
        <f t="shared" ref="R8:R50" si="2">ROUND(G8*2.5%,0)</f>
        <v>338</v>
      </c>
      <c r="S8" s="100"/>
    </row>
    <row r="9" spans="1:19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13400</v>
      </c>
      <c r="H9" s="107"/>
      <c r="I9" s="107"/>
      <c r="J9" s="107"/>
      <c r="K9" s="107"/>
      <c r="L9" s="107"/>
      <c r="M9" s="109"/>
      <c r="N9" s="103"/>
      <c r="O9" s="103">
        <f t="shared" si="0"/>
        <v>335</v>
      </c>
      <c r="P9" s="98"/>
      <c r="Q9" s="103">
        <f t="shared" si="1"/>
        <v>13065</v>
      </c>
      <c r="R9" s="116">
        <f t="shared" si="2"/>
        <v>335</v>
      </c>
      <c r="S9" s="100"/>
    </row>
    <row r="10" spans="1:19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16500</v>
      </c>
      <c r="H10" s="107"/>
      <c r="I10" s="107"/>
      <c r="J10" s="107"/>
      <c r="K10" s="107"/>
      <c r="L10" s="107"/>
      <c r="M10" s="109"/>
      <c r="N10" s="103"/>
      <c r="O10" s="103">
        <v>375</v>
      </c>
      <c r="P10" s="98">
        <v>651</v>
      </c>
      <c r="Q10" s="103">
        <f t="shared" si="1"/>
        <v>15474</v>
      </c>
      <c r="R10" s="116">
        <v>375</v>
      </c>
      <c r="S10" s="100"/>
    </row>
    <row r="11" spans="1:19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17300</v>
      </c>
      <c r="H11" s="107"/>
      <c r="I11" s="107"/>
      <c r="J11" s="107"/>
      <c r="K11" s="107"/>
      <c r="L11" s="107"/>
      <c r="M11" s="109"/>
      <c r="N11" s="103"/>
      <c r="O11" s="103">
        <v>375</v>
      </c>
      <c r="P11" s="98"/>
      <c r="Q11" s="103">
        <f t="shared" si="1"/>
        <v>16925</v>
      </c>
      <c r="R11" s="116">
        <v>375</v>
      </c>
      <c r="S11" s="100"/>
    </row>
    <row r="12" spans="1:19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19000</v>
      </c>
      <c r="H12" s="107"/>
      <c r="I12" s="107"/>
      <c r="J12" s="107"/>
      <c r="K12" s="107"/>
      <c r="L12" s="107"/>
      <c r="M12" s="109"/>
      <c r="N12" s="103"/>
      <c r="O12" s="103">
        <v>375</v>
      </c>
      <c r="P12" s="98"/>
      <c r="Q12" s="103">
        <f t="shared" si="1"/>
        <v>18625</v>
      </c>
      <c r="R12" s="116">
        <v>375</v>
      </c>
      <c r="S12" s="100"/>
    </row>
    <row r="13" spans="1:19" s="110" customFormat="1">
      <c r="A13" s="117">
        <v>7</v>
      </c>
      <c r="B13" s="106" t="s">
        <v>38</v>
      </c>
      <c r="C13" s="107" t="s">
        <v>39</v>
      </c>
      <c r="D13" s="97">
        <v>1361200122408</v>
      </c>
      <c r="E13" s="107" t="s">
        <v>32</v>
      </c>
      <c r="F13" s="193" t="s">
        <v>169</v>
      </c>
      <c r="G13" s="103">
        <v>25000</v>
      </c>
      <c r="H13" s="107"/>
      <c r="I13" s="107"/>
      <c r="J13" s="107"/>
      <c r="K13" s="107"/>
      <c r="L13" s="107"/>
      <c r="M13" s="109"/>
      <c r="N13" s="103"/>
      <c r="O13" s="103">
        <v>375</v>
      </c>
      <c r="P13" s="98">
        <v>1476</v>
      </c>
      <c r="Q13" s="103">
        <f t="shared" si="1"/>
        <v>23149</v>
      </c>
      <c r="R13" s="116">
        <v>375</v>
      </c>
      <c r="S13" s="100"/>
    </row>
    <row r="14" spans="1:19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93" t="s">
        <v>169</v>
      </c>
      <c r="G14" s="103">
        <v>20500</v>
      </c>
      <c r="H14" s="107"/>
      <c r="I14" s="107"/>
      <c r="J14" s="107"/>
      <c r="K14" s="107"/>
      <c r="L14" s="107"/>
      <c r="M14" s="109"/>
      <c r="N14" s="103"/>
      <c r="O14" s="103">
        <v>375</v>
      </c>
      <c r="P14" s="98">
        <v>705</v>
      </c>
      <c r="Q14" s="103">
        <f t="shared" si="1"/>
        <v>19420</v>
      </c>
      <c r="R14" s="116">
        <v>375</v>
      </c>
      <c r="S14" s="100"/>
    </row>
    <row r="15" spans="1:19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98" t="s">
        <v>168</v>
      </c>
      <c r="G15" s="103">
        <v>25000</v>
      </c>
      <c r="H15" s="107"/>
      <c r="I15" s="107"/>
      <c r="J15" s="107"/>
      <c r="K15" s="107"/>
      <c r="L15" s="107"/>
      <c r="M15" s="109"/>
      <c r="N15" s="103"/>
      <c r="O15" s="103">
        <v>375</v>
      </c>
      <c r="P15" s="98"/>
      <c r="Q15" s="103">
        <f t="shared" si="1"/>
        <v>24625</v>
      </c>
      <c r="R15" s="116">
        <v>375</v>
      </c>
      <c r="S15" s="100"/>
    </row>
    <row r="16" spans="1:19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98" t="s">
        <v>168</v>
      </c>
      <c r="G16" s="103">
        <v>19700</v>
      </c>
      <c r="H16" s="107"/>
      <c r="I16" s="107"/>
      <c r="J16" s="107"/>
      <c r="K16" s="107"/>
      <c r="L16" s="107"/>
      <c r="M16" s="109"/>
      <c r="N16" s="103"/>
      <c r="O16" s="103">
        <v>375</v>
      </c>
      <c r="P16" s="98"/>
      <c r="Q16" s="103">
        <f t="shared" si="1"/>
        <v>19325</v>
      </c>
      <c r="R16" s="116">
        <v>375</v>
      </c>
      <c r="S16" s="100"/>
    </row>
    <row r="17" spans="1:19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98" t="s">
        <v>168</v>
      </c>
      <c r="G17" s="103">
        <v>17600</v>
      </c>
      <c r="H17" s="107"/>
      <c r="I17" s="107"/>
      <c r="J17" s="107"/>
      <c r="K17" s="107"/>
      <c r="L17" s="107"/>
      <c r="M17" s="109"/>
      <c r="N17" s="103"/>
      <c r="O17" s="103">
        <v>375</v>
      </c>
      <c r="P17" s="98"/>
      <c r="Q17" s="103">
        <f t="shared" si="1"/>
        <v>17225</v>
      </c>
      <c r="R17" s="116">
        <v>375</v>
      </c>
      <c r="S17" s="100"/>
    </row>
    <row r="18" spans="1:19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98" t="s">
        <v>168</v>
      </c>
      <c r="G18" s="103">
        <v>25000</v>
      </c>
      <c r="H18" s="107"/>
      <c r="I18" s="107"/>
      <c r="J18" s="107"/>
      <c r="K18" s="107"/>
      <c r="L18" s="107"/>
      <c r="M18" s="109"/>
      <c r="N18" s="103"/>
      <c r="O18" s="103">
        <v>375</v>
      </c>
      <c r="P18" s="98"/>
      <c r="Q18" s="103">
        <f t="shared" si="1"/>
        <v>24625</v>
      </c>
      <c r="R18" s="116">
        <v>375</v>
      </c>
      <c r="S18" s="100"/>
    </row>
    <row r="19" spans="1:19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98" t="s">
        <v>168</v>
      </c>
      <c r="G19" s="103">
        <v>22700</v>
      </c>
      <c r="H19" s="107"/>
      <c r="I19" s="107"/>
      <c r="J19" s="107"/>
      <c r="K19" s="107"/>
      <c r="L19" s="107"/>
      <c r="M19" s="109"/>
      <c r="N19" s="103"/>
      <c r="O19" s="103">
        <v>375</v>
      </c>
      <c r="P19" s="98"/>
      <c r="Q19" s="103">
        <f t="shared" si="1"/>
        <v>22325</v>
      </c>
      <c r="R19" s="116">
        <v>375</v>
      </c>
      <c r="S19" s="100"/>
    </row>
    <row r="20" spans="1:19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93" t="s">
        <v>169</v>
      </c>
      <c r="G20" s="103">
        <v>23500</v>
      </c>
      <c r="H20" s="107"/>
      <c r="I20" s="107"/>
      <c r="J20" s="107"/>
      <c r="K20" s="107"/>
      <c r="L20" s="107"/>
      <c r="M20" s="109"/>
      <c r="N20" s="103"/>
      <c r="O20" s="103">
        <v>375</v>
      </c>
      <c r="P20" s="98"/>
      <c r="Q20" s="103">
        <f t="shared" si="1"/>
        <v>23125</v>
      </c>
      <c r="R20" s="116">
        <v>375</v>
      </c>
      <c r="S20" s="100"/>
    </row>
    <row r="21" spans="1:19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93" t="s">
        <v>169</v>
      </c>
      <c r="G21" s="103">
        <v>25000</v>
      </c>
      <c r="H21" s="107"/>
      <c r="I21" s="107"/>
      <c r="J21" s="107"/>
      <c r="K21" s="107"/>
      <c r="L21" s="107"/>
      <c r="M21" s="109"/>
      <c r="N21" s="103"/>
      <c r="O21" s="103">
        <v>375</v>
      </c>
      <c r="P21" s="98"/>
      <c r="Q21" s="103">
        <f t="shared" si="1"/>
        <v>24625</v>
      </c>
      <c r="R21" s="116">
        <v>375</v>
      </c>
      <c r="S21" s="100"/>
    </row>
    <row r="22" spans="1:19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9"/>
      <c r="N22" s="103"/>
      <c r="O22" s="103">
        <v>375</v>
      </c>
      <c r="P22" s="98"/>
      <c r="Q22" s="103">
        <f t="shared" si="1"/>
        <v>24625</v>
      </c>
      <c r="R22" s="116">
        <v>375</v>
      </c>
      <c r="S22" s="100"/>
    </row>
    <row r="23" spans="1:19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9"/>
      <c r="N23" s="103"/>
      <c r="O23" s="103">
        <v>375</v>
      </c>
      <c r="P23" s="98"/>
      <c r="Q23" s="103">
        <f t="shared" si="1"/>
        <v>24625</v>
      </c>
      <c r="R23" s="116">
        <v>375</v>
      </c>
      <c r="S23" s="100"/>
    </row>
    <row r="24" spans="1:19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9"/>
      <c r="N24" s="103"/>
      <c r="O24" s="103">
        <v>375</v>
      </c>
      <c r="P24" s="98"/>
      <c r="Q24" s="103">
        <f t="shared" si="1"/>
        <v>24625</v>
      </c>
      <c r="R24" s="116">
        <v>375</v>
      </c>
      <c r="S24" s="100"/>
    </row>
    <row r="25" spans="1:19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9"/>
      <c r="N25" s="103"/>
      <c r="O25" s="103">
        <v>375</v>
      </c>
      <c r="P25" s="98"/>
      <c r="Q25" s="103">
        <f t="shared" si="1"/>
        <v>24625</v>
      </c>
      <c r="R25" s="116">
        <v>375</v>
      </c>
      <c r="S25" s="100"/>
    </row>
    <row r="26" spans="1:19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98" t="s">
        <v>168</v>
      </c>
      <c r="G26" s="103">
        <v>25000</v>
      </c>
      <c r="H26" s="107"/>
      <c r="I26" s="107"/>
      <c r="J26" s="107"/>
      <c r="K26" s="107"/>
      <c r="L26" s="107"/>
      <c r="M26" s="109"/>
      <c r="N26" s="103"/>
      <c r="O26" s="103">
        <v>375</v>
      </c>
      <c r="P26" s="98"/>
      <c r="Q26" s="103">
        <f t="shared" si="1"/>
        <v>24625</v>
      </c>
      <c r="R26" s="116">
        <v>375</v>
      </c>
      <c r="S26" s="100"/>
    </row>
    <row r="27" spans="1:19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98" t="s">
        <v>168</v>
      </c>
      <c r="G27" s="124">
        <f>+I27*J27</f>
        <v>9400</v>
      </c>
      <c r="H27" s="123"/>
      <c r="I27" s="123">
        <v>400</v>
      </c>
      <c r="J27" s="123">
        <v>23.5</v>
      </c>
      <c r="K27" s="123"/>
      <c r="L27" s="123"/>
      <c r="M27" s="126"/>
      <c r="N27" s="124"/>
      <c r="O27" s="124">
        <f t="shared" si="0"/>
        <v>235</v>
      </c>
      <c r="P27" s="135"/>
      <c r="Q27" s="124">
        <f t="shared" si="1"/>
        <v>9165</v>
      </c>
      <c r="R27" s="128">
        <f t="shared" si="2"/>
        <v>235</v>
      </c>
      <c r="S27" s="124"/>
    </row>
    <row r="28" spans="1:19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98" t="s">
        <v>168</v>
      </c>
      <c r="G28" s="124">
        <f>+I28*J28</f>
        <v>8640</v>
      </c>
      <c r="H28" s="123"/>
      <c r="I28" s="123">
        <v>360</v>
      </c>
      <c r="J28" s="123">
        <v>24</v>
      </c>
      <c r="K28" s="123"/>
      <c r="L28" s="123"/>
      <c r="M28" s="126"/>
      <c r="N28" s="124"/>
      <c r="O28" s="124">
        <f t="shared" si="0"/>
        <v>216</v>
      </c>
      <c r="P28" s="135"/>
      <c r="Q28" s="124">
        <f t="shared" si="1"/>
        <v>8424</v>
      </c>
      <c r="R28" s="128">
        <f t="shared" si="2"/>
        <v>216</v>
      </c>
      <c r="S28" s="124"/>
    </row>
    <row r="29" spans="1:19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98" t="s">
        <v>168</v>
      </c>
      <c r="G29" s="103">
        <v>25000</v>
      </c>
      <c r="H29" s="107"/>
      <c r="I29" s="107"/>
      <c r="J29" s="107"/>
      <c r="K29" s="107"/>
      <c r="L29" s="107"/>
      <c r="M29" s="109"/>
      <c r="N29" s="103"/>
      <c r="O29" s="103">
        <v>375</v>
      </c>
      <c r="P29" s="98"/>
      <c r="Q29" s="103">
        <f t="shared" si="1"/>
        <v>24625</v>
      </c>
      <c r="R29" s="98">
        <v>375</v>
      </c>
      <c r="S29" s="100"/>
    </row>
    <row r="30" spans="1:19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93" t="s">
        <v>169</v>
      </c>
      <c r="G30" s="103">
        <v>15500</v>
      </c>
      <c r="H30" s="113" t="s">
        <v>80</v>
      </c>
      <c r="I30" s="107"/>
      <c r="J30" s="107"/>
      <c r="K30" s="107"/>
      <c r="L30" s="107"/>
      <c r="M30" s="109"/>
      <c r="N30" s="103"/>
      <c r="O30" s="103">
        <v>375</v>
      </c>
      <c r="P30" s="98"/>
      <c r="Q30" s="103">
        <f t="shared" si="1"/>
        <v>15125</v>
      </c>
      <c r="R30" s="116">
        <v>375</v>
      </c>
      <c r="S30" s="100"/>
    </row>
    <row r="31" spans="1:19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261" t="s">
        <v>169</v>
      </c>
      <c r="G31" s="98">
        <v>15500</v>
      </c>
      <c r="H31" s="113" t="s">
        <v>83</v>
      </c>
      <c r="I31" s="95"/>
      <c r="J31" s="95"/>
      <c r="K31" s="95"/>
      <c r="L31" s="95"/>
      <c r="M31" s="109"/>
      <c r="N31" s="103"/>
      <c r="O31" s="103">
        <v>375</v>
      </c>
      <c r="P31" s="98"/>
      <c r="Q31" s="103">
        <f t="shared" si="1"/>
        <v>15125</v>
      </c>
      <c r="R31" s="116">
        <v>375</v>
      </c>
      <c r="S31" s="100"/>
    </row>
    <row r="32" spans="1:19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98" t="s">
        <v>168</v>
      </c>
      <c r="G32" s="103">
        <v>25000</v>
      </c>
      <c r="H32" s="108" t="s">
        <v>88</v>
      </c>
      <c r="I32" s="107"/>
      <c r="J32" s="107"/>
      <c r="K32" s="107"/>
      <c r="L32" s="107"/>
      <c r="M32" s="109"/>
      <c r="N32" s="103"/>
      <c r="O32" s="103">
        <v>375</v>
      </c>
      <c r="P32" s="98"/>
      <c r="Q32" s="103">
        <f t="shared" si="1"/>
        <v>24625</v>
      </c>
      <c r="R32" s="116">
        <v>375</v>
      </c>
      <c r="S32" s="102"/>
    </row>
    <row r="33" spans="1:19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98" t="s">
        <v>168</v>
      </c>
      <c r="G33" s="124">
        <f>+I33*J33</f>
        <v>7980</v>
      </c>
      <c r="H33" s="125" t="s">
        <v>88</v>
      </c>
      <c r="I33" s="123">
        <v>380</v>
      </c>
      <c r="J33" s="123">
        <v>21</v>
      </c>
      <c r="K33" s="123"/>
      <c r="L33" s="123"/>
      <c r="M33" s="126"/>
      <c r="N33" s="124"/>
      <c r="O33" s="124">
        <f>ROUND(G33*2.5%,0)</f>
        <v>200</v>
      </c>
      <c r="P33" s="135"/>
      <c r="Q33" s="124">
        <f t="shared" si="1"/>
        <v>7780</v>
      </c>
      <c r="R33" s="128">
        <f t="shared" si="2"/>
        <v>200</v>
      </c>
      <c r="S33" s="127"/>
    </row>
    <row r="34" spans="1:19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93" t="s">
        <v>169</v>
      </c>
      <c r="G34" s="103">
        <v>16200</v>
      </c>
      <c r="H34" s="108" t="s">
        <v>93</v>
      </c>
      <c r="I34" s="107"/>
      <c r="J34" s="107"/>
      <c r="K34" s="107"/>
      <c r="L34" s="107"/>
      <c r="M34" s="109"/>
      <c r="N34" s="103"/>
      <c r="O34" s="103">
        <v>375</v>
      </c>
      <c r="P34" s="98"/>
      <c r="Q34" s="103">
        <f t="shared" si="1"/>
        <v>15825</v>
      </c>
      <c r="R34" s="116">
        <v>375</v>
      </c>
      <c r="S34" s="100"/>
    </row>
    <row r="35" spans="1:19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98" t="s">
        <v>168</v>
      </c>
      <c r="G35" s="124">
        <f>I35*J35</f>
        <v>7920</v>
      </c>
      <c r="H35" s="125" t="s">
        <v>96</v>
      </c>
      <c r="I35" s="123">
        <v>330</v>
      </c>
      <c r="J35" s="123">
        <v>24</v>
      </c>
      <c r="K35" s="123"/>
      <c r="L35" s="123"/>
      <c r="M35" s="126"/>
      <c r="N35" s="124"/>
      <c r="O35" s="124">
        <f t="shared" si="0"/>
        <v>198</v>
      </c>
      <c r="P35" s="135"/>
      <c r="Q35" s="124">
        <f t="shared" si="1"/>
        <v>7722</v>
      </c>
      <c r="R35" s="128">
        <f t="shared" si="2"/>
        <v>198</v>
      </c>
      <c r="S35" s="127"/>
    </row>
    <row r="36" spans="1:19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98" t="s">
        <v>168</v>
      </c>
      <c r="G36" s="124">
        <f t="shared" ref="G36:G42" si="3">I36*J36</f>
        <v>7920</v>
      </c>
      <c r="H36" s="125" t="s">
        <v>96</v>
      </c>
      <c r="I36" s="123">
        <v>330</v>
      </c>
      <c r="J36" s="123">
        <v>24</v>
      </c>
      <c r="K36" s="123"/>
      <c r="L36" s="123"/>
      <c r="M36" s="126"/>
      <c r="N36" s="124"/>
      <c r="O36" s="124">
        <f t="shared" si="0"/>
        <v>198</v>
      </c>
      <c r="P36" s="135"/>
      <c r="Q36" s="124">
        <f t="shared" si="1"/>
        <v>7722</v>
      </c>
      <c r="R36" s="128">
        <f t="shared" si="2"/>
        <v>198</v>
      </c>
      <c r="S36" s="127"/>
    </row>
    <row r="37" spans="1:19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98" t="s">
        <v>168</v>
      </c>
      <c r="G37" s="124">
        <f t="shared" si="3"/>
        <v>7590</v>
      </c>
      <c r="H37" s="125" t="s">
        <v>96</v>
      </c>
      <c r="I37" s="123">
        <v>330</v>
      </c>
      <c r="J37" s="123">
        <v>23</v>
      </c>
      <c r="K37" s="123"/>
      <c r="L37" s="123"/>
      <c r="M37" s="126"/>
      <c r="N37" s="124"/>
      <c r="O37" s="124">
        <f t="shared" si="0"/>
        <v>190</v>
      </c>
      <c r="P37" s="135"/>
      <c r="Q37" s="124">
        <f t="shared" si="1"/>
        <v>7400</v>
      </c>
      <c r="R37" s="128">
        <f t="shared" si="2"/>
        <v>190</v>
      </c>
      <c r="S37" s="124"/>
    </row>
    <row r="38" spans="1:19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98" t="s">
        <v>168</v>
      </c>
      <c r="G38" s="124">
        <f t="shared" si="3"/>
        <v>7920</v>
      </c>
      <c r="H38" s="125" t="s">
        <v>96</v>
      </c>
      <c r="I38" s="123">
        <v>330</v>
      </c>
      <c r="J38" s="123">
        <v>24</v>
      </c>
      <c r="K38" s="123"/>
      <c r="L38" s="123"/>
      <c r="M38" s="126"/>
      <c r="N38" s="124"/>
      <c r="O38" s="124">
        <f t="shared" si="0"/>
        <v>198</v>
      </c>
      <c r="P38" s="135"/>
      <c r="Q38" s="124">
        <f t="shared" si="1"/>
        <v>7722</v>
      </c>
      <c r="R38" s="128">
        <f t="shared" si="2"/>
        <v>198</v>
      </c>
      <c r="S38" s="124"/>
    </row>
    <row r="39" spans="1:19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98" t="s">
        <v>168</v>
      </c>
      <c r="G39" s="124">
        <f t="shared" si="3"/>
        <v>9200</v>
      </c>
      <c r="H39" s="133" t="s">
        <v>107</v>
      </c>
      <c r="I39" s="132">
        <v>400</v>
      </c>
      <c r="J39" s="132">
        <v>23</v>
      </c>
      <c r="K39" s="132"/>
      <c r="L39" s="132"/>
      <c r="M39" s="134"/>
      <c r="N39" s="135"/>
      <c r="O39" s="124">
        <f t="shared" si="0"/>
        <v>230</v>
      </c>
      <c r="P39" s="135"/>
      <c r="Q39" s="124">
        <f t="shared" si="1"/>
        <v>8970</v>
      </c>
      <c r="R39" s="128">
        <f t="shared" si="2"/>
        <v>230</v>
      </c>
      <c r="S39" s="124"/>
    </row>
    <row r="40" spans="1:19" s="136" customFormat="1">
      <c r="A40" s="121">
        <v>34</v>
      </c>
      <c r="B40" s="131" t="s">
        <v>110</v>
      </c>
      <c r="C40" s="137">
        <v>6016300837717</v>
      </c>
      <c r="D40" s="137">
        <v>991019747856</v>
      </c>
      <c r="E40" s="132" t="s">
        <v>95</v>
      </c>
      <c r="F40" s="198" t="s">
        <v>168</v>
      </c>
      <c r="G40" s="124">
        <f t="shared" si="3"/>
        <v>7920</v>
      </c>
      <c r="H40" s="133" t="s">
        <v>111</v>
      </c>
      <c r="I40" s="132">
        <v>330</v>
      </c>
      <c r="J40" s="132">
        <v>24</v>
      </c>
      <c r="K40" s="132"/>
      <c r="L40" s="132"/>
      <c r="M40" s="134"/>
      <c r="N40" s="135"/>
      <c r="O40" s="124">
        <f t="shared" si="0"/>
        <v>198</v>
      </c>
      <c r="P40" s="135"/>
      <c r="Q40" s="124">
        <f t="shared" si="1"/>
        <v>7722</v>
      </c>
      <c r="R40" s="128">
        <f t="shared" si="2"/>
        <v>198</v>
      </c>
      <c r="S40" s="124"/>
    </row>
    <row r="41" spans="1:19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98" t="s">
        <v>168</v>
      </c>
      <c r="G41" s="124">
        <f t="shared" si="3"/>
        <v>7590</v>
      </c>
      <c r="H41" s="133" t="s">
        <v>111</v>
      </c>
      <c r="I41" s="132">
        <v>330</v>
      </c>
      <c r="J41" s="132">
        <v>23</v>
      </c>
      <c r="K41" s="132"/>
      <c r="L41" s="132"/>
      <c r="M41" s="134"/>
      <c r="N41" s="135"/>
      <c r="O41" s="124">
        <f t="shared" si="0"/>
        <v>190</v>
      </c>
      <c r="P41" s="135"/>
      <c r="Q41" s="124">
        <f t="shared" si="1"/>
        <v>7400</v>
      </c>
      <c r="R41" s="128">
        <f t="shared" si="2"/>
        <v>190</v>
      </c>
      <c r="S41" s="124"/>
    </row>
    <row r="42" spans="1:19" s="136" customFormat="1">
      <c r="A42" s="121">
        <v>36</v>
      </c>
      <c r="B42" s="131" t="s">
        <v>113</v>
      </c>
      <c r="C42" s="137">
        <v>6016300837750</v>
      </c>
      <c r="D42" s="137">
        <v>991019747686</v>
      </c>
      <c r="E42" s="132" t="s">
        <v>95</v>
      </c>
      <c r="F42" s="198" t="s">
        <v>168</v>
      </c>
      <c r="G42" s="124">
        <f t="shared" si="3"/>
        <v>7590</v>
      </c>
      <c r="H42" s="133" t="s">
        <v>111</v>
      </c>
      <c r="I42" s="132">
        <v>330</v>
      </c>
      <c r="J42" s="132">
        <v>23</v>
      </c>
      <c r="K42" s="132"/>
      <c r="L42" s="132"/>
      <c r="M42" s="134"/>
      <c r="N42" s="135"/>
      <c r="O42" s="124">
        <f t="shared" si="0"/>
        <v>190</v>
      </c>
      <c r="P42" s="135"/>
      <c r="Q42" s="124">
        <f t="shared" si="1"/>
        <v>7400</v>
      </c>
      <c r="R42" s="128">
        <f t="shared" si="2"/>
        <v>190</v>
      </c>
      <c r="S42" s="132"/>
    </row>
    <row r="43" spans="1:19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98" t="s">
        <v>168</v>
      </c>
      <c r="G43" s="103">
        <v>25000</v>
      </c>
      <c r="H43" s="112" t="s">
        <v>101</v>
      </c>
      <c r="I43" s="107"/>
      <c r="J43" s="107"/>
      <c r="K43" s="107"/>
      <c r="L43" s="107"/>
      <c r="M43" s="109"/>
      <c r="N43" s="103"/>
      <c r="O43" s="103">
        <v>375</v>
      </c>
      <c r="P43" s="98"/>
      <c r="Q43" s="103">
        <f t="shared" si="1"/>
        <v>24625</v>
      </c>
      <c r="R43" s="116">
        <v>375</v>
      </c>
      <c r="S43" s="100"/>
    </row>
    <row r="44" spans="1:19" s="129" customFormat="1">
      <c r="A44" s="121">
        <v>38</v>
      </c>
      <c r="B44" s="122" t="s">
        <v>102</v>
      </c>
      <c r="C44" s="130">
        <v>220062001228</v>
      </c>
      <c r="D44" s="137">
        <v>991017408884</v>
      </c>
      <c r="E44" s="123" t="s">
        <v>95</v>
      </c>
      <c r="F44" s="198" t="s">
        <v>168</v>
      </c>
      <c r="G44" s="124">
        <f>+I44*J44</f>
        <v>7920</v>
      </c>
      <c r="H44" s="138" t="s">
        <v>106</v>
      </c>
      <c r="I44" s="123">
        <v>330</v>
      </c>
      <c r="J44" s="123">
        <v>24</v>
      </c>
      <c r="K44" s="123"/>
      <c r="L44" s="123"/>
      <c r="M44" s="126"/>
      <c r="N44" s="124"/>
      <c r="O44" s="124">
        <f t="shared" si="0"/>
        <v>198</v>
      </c>
      <c r="P44" s="135"/>
      <c r="Q44" s="124">
        <f t="shared" si="1"/>
        <v>7722</v>
      </c>
      <c r="R44" s="128">
        <f t="shared" si="2"/>
        <v>198</v>
      </c>
      <c r="S44" s="139"/>
    </row>
    <row r="45" spans="1:19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261" t="s">
        <v>169</v>
      </c>
      <c r="G45" s="98">
        <v>12000</v>
      </c>
      <c r="H45" s="99" t="s">
        <v>115</v>
      </c>
      <c r="I45" s="100"/>
      <c r="J45" s="100"/>
      <c r="K45" s="100"/>
      <c r="L45" s="100"/>
      <c r="M45" s="101"/>
      <c r="N45" s="102"/>
      <c r="O45" s="103">
        <f t="shared" si="0"/>
        <v>300</v>
      </c>
      <c r="P45" s="98"/>
      <c r="Q45" s="103">
        <f t="shared" si="1"/>
        <v>11700</v>
      </c>
      <c r="R45" s="116">
        <f t="shared" si="2"/>
        <v>300</v>
      </c>
      <c r="S45" s="100"/>
    </row>
    <row r="46" spans="1:19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248" t="s">
        <v>168</v>
      </c>
      <c r="G46" s="98">
        <v>15000</v>
      </c>
      <c r="H46" s="99" t="s">
        <v>119</v>
      </c>
      <c r="I46" s="95"/>
      <c r="J46" s="95"/>
      <c r="K46" s="95"/>
      <c r="L46" s="95"/>
      <c r="M46" s="115"/>
      <c r="N46" s="98"/>
      <c r="O46" s="103">
        <f t="shared" si="0"/>
        <v>375</v>
      </c>
      <c r="P46" s="98"/>
      <c r="Q46" s="103">
        <f t="shared" si="1"/>
        <v>14625</v>
      </c>
      <c r="R46" s="116">
        <f t="shared" si="2"/>
        <v>375</v>
      </c>
      <c r="S46" s="95"/>
    </row>
    <row r="47" spans="1:19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248" t="s">
        <v>168</v>
      </c>
      <c r="G47" s="98">
        <v>15000</v>
      </c>
      <c r="H47" s="99" t="s">
        <v>119</v>
      </c>
      <c r="I47" s="95"/>
      <c r="J47" s="95"/>
      <c r="K47" s="95"/>
      <c r="L47" s="95"/>
      <c r="M47" s="115"/>
      <c r="N47" s="98"/>
      <c r="O47" s="103">
        <f t="shared" si="0"/>
        <v>375</v>
      </c>
      <c r="P47" s="98"/>
      <c r="Q47" s="103">
        <f t="shared" si="1"/>
        <v>14625</v>
      </c>
      <c r="R47" s="116">
        <f t="shared" si="2"/>
        <v>375</v>
      </c>
      <c r="S47" s="95"/>
    </row>
    <row r="48" spans="1:19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248" t="s">
        <v>168</v>
      </c>
      <c r="G48" s="98">
        <v>15000</v>
      </c>
      <c r="H48" s="99" t="s">
        <v>119</v>
      </c>
      <c r="I48" s="95"/>
      <c r="J48" s="95"/>
      <c r="K48" s="95"/>
      <c r="L48" s="95"/>
      <c r="M48" s="115"/>
      <c r="N48" s="98"/>
      <c r="O48" s="103">
        <f t="shared" si="0"/>
        <v>375</v>
      </c>
      <c r="P48" s="98"/>
      <c r="Q48" s="103">
        <f t="shared" si="1"/>
        <v>14625</v>
      </c>
      <c r="R48" s="116">
        <f t="shared" si="2"/>
        <v>375</v>
      </c>
      <c r="S48" s="95"/>
    </row>
    <row r="49" spans="1:19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261" t="s">
        <v>169</v>
      </c>
      <c r="G49" s="98">
        <v>15000</v>
      </c>
      <c r="H49" s="99" t="s">
        <v>119</v>
      </c>
      <c r="I49" s="95"/>
      <c r="J49" s="95"/>
      <c r="K49" s="95"/>
      <c r="L49" s="95"/>
      <c r="M49" s="115"/>
      <c r="N49" s="98"/>
      <c r="O49" s="103">
        <f t="shared" si="0"/>
        <v>375</v>
      </c>
      <c r="P49" s="98"/>
      <c r="Q49" s="103">
        <f t="shared" si="1"/>
        <v>14625</v>
      </c>
      <c r="R49" s="116">
        <f t="shared" si="2"/>
        <v>375</v>
      </c>
      <c r="S49" s="95"/>
    </row>
    <row r="50" spans="1:19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 t="s">
        <v>168</v>
      </c>
      <c r="G50" s="128">
        <f>I50*J50</f>
        <v>8400</v>
      </c>
      <c r="H50" s="144" t="s">
        <v>139</v>
      </c>
      <c r="I50" s="143">
        <v>350</v>
      </c>
      <c r="J50" s="143">
        <v>24</v>
      </c>
      <c r="K50" s="143"/>
      <c r="L50" s="143"/>
      <c r="M50" s="145"/>
      <c r="N50" s="128"/>
      <c r="O50" s="124">
        <f t="shared" si="0"/>
        <v>210</v>
      </c>
      <c r="P50" s="128"/>
      <c r="Q50" s="124">
        <f t="shared" si="1"/>
        <v>8190</v>
      </c>
      <c r="R50" s="128">
        <f t="shared" si="2"/>
        <v>210</v>
      </c>
      <c r="S50" s="146"/>
    </row>
    <row r="51" spans="1:19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256" t="s">
        <v>169</v>
      </c>
      <c r="G51" s="116">
        <v>23000</v>
      </c>
      <c r="H51" s="99" t="s">
        <v>164</v>
      </c>
      <c r="I51" s="95"/>
      <c r="J51" s="95"/>
      <c r="K51" s="183"/>
      <c r="L51" s="183"/>
      <c r="M51" s="184"/>
      <c r="N51" s="185"/>
      <c r="O51" s="103">
        <v>375</v>
      </c>
      <c r="P51" s="116"/>
      <c r="Q51" s="103">
        <f t="shared" si="1"/>
        <v>22625</v>
      </c>
      <c r="R51" s="116">
        <v>375</v>
      </c>
      <c r="S51" s="186"/>
    </row>
    <row r="52" spans="1:19" s="86" customFormat="1" ht="22.5" thickBot="1">
      <c r="A52" s="424" t="s">
        <v>103</v>
      </c>
      <c r="B52" s="425"/>
      <c r="C52" s="425"/>
      <c r="D52" s="425"/>
      <c r="E52" s="425"/>
      <c r="F52" s="426"/>
      <c r="G52" s="89">
        <f>SUM(G7:G51)</f>
        <v>746490</v>
      </c>
      <c r="H52" s="87"/>
      <c r="I52" s="87"/>
      <c r="J52" s="87"/>
      <c r="K52" s="87"/>
      <c r="L52" s="87"/>
      <c r="M52" s="87"/>
      <c r="N52" s="87"/>
      <c r="O52" s="89">
        <f>SUM(O7:O51)</f>
        <v>14489</v>
      </c>
      <c r="P52" s="89">
        <f t="shared" ref="P52:R52" si="4">SUM(P7:P51)</f>
        <v>2832</v>
      </c>
      <c r="Q52" s="89">
        <f t="shared" si="4"/>
        <v>729169</v>
      </c>
      <c r="R52" s="89">
        <f t="shared" si="4"/>
        <v>14489</v>
      </c>
      <c r="S52" s="88"/>
    </row>
    <row r="53" spans="1:19" ht="23.25" thickTop="1" thickBot="1">
      <c r="A53" s="119"/>
      <c r="B53" s="3"/>
      <c r="C53" s="3"/>
      <c r="D53" s="49"/>
      <c r="E53" s="3"/>
      <c r="F53" s="3"/>
      <c r="G53" s="39"/>
      <c r="H53" s="39"/>
      <c r="I53" s="39"/>
      <c r="J53" s="39"/>
      <c r="K53" s="39"/>
      <c r="L53" s="39"/>
      <c r="M53" s="39"/>
      <c r="N53" s="39"/>
      <c r="O53" s="39"/>
      <c r="P53" s="166"/>
      <c r="Q53" s="39"/>
      <c r="S53" s="5"/>
    </row>
    <row r="54" spans="1:19" ht="44.25" thickBot="1">
      <c r="A54" s="119"/>
      <c r="B54" s="50" t="s">
        <v>12</v>
      </c>
      <c r="C54" s="3"/>
      <c r="D54" s="49"/>
      <c r="E54" s="3"/>
      <c r="F54" s="3"/>
      <c r="G54" s="39"/>
      <c r="H54" s="156" t="s">
        <v>145</v>
      </c>
      <c r="I54" s="39"/>
      <c r="J54" s="39"/>
      <c r="K54" s="39"/>
      <c r="L54" s="39"/>
      <c r="M54" s="39"/>
      <c r="N54" s="28" t="s">
        <v>158</v>
      </c>
      <c r="O54" s="153" t="s">
        <v>159</v>
      </c>
      <c r="P54" s="164" t="s">
        <v>150</v>
      </c>
      <c r="Q54" s="153" t="s">
        <v>11</v>
      </c>
      <c r="S54" s="5"/>
    </row>
    <row r="55" spans="1:19">
      <c r="A55" s="119"/>
      <c r="B55" s="52" t="s">
        <v>156</v>
      </c>
      <c r="C55" s="149">
        <v>0</v>
      </c>
      <c r="D55" s="301"/>
      <c r="E55" s="54" t="s">
        <v>142</v>
      </c>
      <c r="F55" s="54"/>
      <c r="G55" s="55" t="s">
        <v>140</v>
      </c>
      <c r="H55" s="170" t="s">
        <v>141</v>
      </c>
      <c r="I55" s="170">
        <v>13</v>
      </c>
      <c r="J55" s="171" t="s">
        <v>142</v>
      </c>
      <c r="K55" s="148"/>
      <c r="L55" s="148"/>
      <c r="N55" s="16">
        <f>+G27+G28+G33+G35+G36+G37+G38+G39+G40+G41+G42+G44+G50</f>
        <v>105990</v>
      </c>
      <c r="O55" s="16">
        <f>+O27+O28+O33+O35+O36+O37+O38+O39+O40+O41+O42+O44+O50</f>
        <v>2651</v>
      </c>
      <c r="P55" s="24">
        <v>0</v>
      </c>
      <c r="Q55" s="175">
        <f>+Q27+Q28+Q33+Q35+Q36+Q37+Q38+Q39+Q40+Q41+Q42+Q44+Q50</f>
        <v>103339</v>
      </c>
      <c r="S55" s="5"/>
    </row>
    <row r="56" spans="1:19">
      <c r="A56" s="119"/>
      <c r="B56" s="56" t="s">
        <v>137</v>
      </c>
      <c r="C56" s="150">
        <v>0</v>
      </c>
      <c r="D56" s="118"/>
      <c r="E56" s="6" t="s">
        <v>142</v>
      </c>
      <c r="F56" s="6"/>
      <c r="G56" s="190" t="s">
        <v>162</v>
      </c>
      <c r="H56" s="173" t="s">
        <v>144</v>
      </c>
      <c r="I56" s="173">
        <v>32</v>
      </c>
      <c r="J56" s="174" t="s">
        <v>142</v>
      </c>
      <c r="K56" s="148"/>
      <c r="L56" s="148"/>
      <c r="N56" s="16">
        <f>+G7+G8+G9+G10+G11+G12+G13+G14+G15+G16+G17+G18+G19+G20+G21+G22+G23+G24+G25+G26+G29+G30+G31+G32+G34+G43+G45+G46+G47+G48+G49+G51</f>
        <v>640500</v>
      </c>
      <c r="O56" s="16">
        <f>+O7+O8+O9+O10+O11+O12+O13+O14+O15+O16+O17+O18+O19+O20+O21+O22+O23+O24+O25+O26+O29+O30+O31+O32+O34+O43+O45+O46+O47+O48+O49+O51</f>
        <v>11838</v>
      </c>
      <c r="P56" s="24">
        <f>+P10+P13+P14</f>
        <v>2832</v>
      </c>
      <c r="Q56" s="16">
        <f>+Q7+Q8+Q9+Q10+Q11+Q12+Q13+Q14+Q15+Q16+Q17+Q18+Q19+Q20+Q21+Q22+Q23+Q24+Q25+Q26+Q29+Q30+Q31+Q32+Q34+Q43+Q45+Q46+Q47+Q48+Q49+Q51</f>
        <v>625830</v>
      </c>
      <c r="S56" s="5"/>
    </row>
    <row r="57" spans="1:19" ht="22.5" thickBot="1">
      <c r="A57" s="119"/>
      <c r="B57" s="419"/>
      <c r="C57" s="420"/>
      <c r="D57" s="300"/>
      <c r="E57" s="187"/>
      <c r="F57" s="187"/>
      <c r="G57" s="188"/>
      <c r="H57" s="189" t="s">
        <v>147</v>
      </c>
      <c r="I57" s="69">
        <f>SUM(I55:I56)</f>
        <v>45</v>
      </c>
      <c r="J57" s="155" t="s">
        <v>142</v>
      </c>
      <c r="K57" s="154"/>
      <c r="L57" s="154"/>
      <c r="N57" s="176">
        <f>SUM(N55:N56)</f>
        <v>746490</v>
      </c>
      <c r="O57" s="176">
        <f>SUM(O55:O56)</f>
        <v>14489</v>
      </c>
      <c r="P57" s="177">
        <f>SUM(P55:P56)</f>
        <v>2832</v>
      </c>
      <c r="Q57" s="176">
        <f>SUM(Q55:Q56)</f>
        <v>729169</v>
      </c>
    </row>
    <row r="59" spans="1:19" ht="65.25">
      <c r="B59" s="11" t="s">
        <v>167</v>
      </c>
      <c r="C59" s="11" t="s">
        <v>158</v>
      </c>
      <c r="D59" s="304" t="s">
        <v>180</v>
      </c>
      <c r="E59" s="304" t="s">
        <v>181</v>
      </c>
      <c r="F59" s="91" t="s">
        <v>150</v>
      </c>
      <c r="G59" s="304" t="s">
        <v>172</v>
      </c>
      <c r="O59" s="168"/>
      <c r="P59" s="1"/>
      <c r="Q59" s="76"/>
      <c r="R59" s="1"/>
    </row>
    <row r="60" spans="1:19">
      <c r="B60" s="199" t="s">
        <v>178</v>
      </c>
      <c r="C60" s="197">
        <f>+G7+G12+G15+G16+G17+G18+G19+G22+G23+G24+G25+G26+G27+G28+G29+G32+G33+G35+G36+G37+G38+G39+G40+G41+G42+G43+G44+G46+G47+G48+G50</f>
        <v>494590</v>
      </c>
      <c r="D60" s="197">
        <f>+R7+R12+R15+R16+R17+R18+R19+R22+R23+R24+R25+R26+R27+R28+R29+R32+R33+R35+R36+R37+R38+R39+R40+R41+R42+R43+R44+R46+R47+R50+R48</f>
        <v>9391</v>
      </c>
      <c r="E60" s="197">
        <f>+O7+O12+O15+O16+O17+O18+O19+O22+O23+O24+O26+O27+O28+O29+O32+O25+O33+O35+O36+O37+O38+O39+O40+O41+O42+O43+O44+O46+O47+O48+O50</f>
        <v>9391</v>
      </c>
      <c r="F60" s="197">
        <v>0</v>
      </c>
      <c r="G60" s="197">
        <f>+D60+E60</f>
        <v>18782</v>
      </c>
      <c r="O60" s="168"/>
      <c r="P60" s="1"/>
      <c r="Q60" s="76"/>
      <c r="R60" s="1"/>
    </row>
    <row r="61" spans="1:19">
      <c r="B61" s="191" t="s">
        <v>179</v>
      </c>
      <c r="C61" s="204">
        <f>+G8+G9+G10+G11+G13+G14+G20+G21+G30+G31+G34+G45+G49+G51</f>
        <v>251900</v>
      </c>
      <c r="D61" s="204">
        <f>+R8+R9+R10+R11+R13+R14+R20+R21+R30+R31+R34+R45+R49+R51</f>
        <v>5098</v>
      </c>
      <c r="E61" s="204">
        <f>+O8+O9+O10+O11+O13+O14+O20+O21+O30+O31+O34+O45+O49+O51</f>
        <v>5098</v>
      </c>
      <c r="F61" s="204">
        <f>+P10+P13+P14</f>
        <v>2832</v>
      </c>
      <c r="G61" s="204">
        <f>+D61+E61</f>
        <v>10196</v>
      </c>
      <c r="O61" s="168"/>
      <c r="P61" s="1"/>
      <c r="Q61" s="76"/>
      <c r="R61" s="1"/>
    </row>
    <row r="62" spans="1:19" ht="24">
      <c r="B62" s="195" t="s">
        <v>147</v>
      </c>
      <c r="C62" s="233">
        <f>SUM(C60:C61)</f>
        <v>746490</v>
      </c>
      <c r="D62" s="233">
        <f>SUM(D60:D61)</f>
        <v>14489</v>
      </c>
      <c r="E62" s="233">
        <f>SUM(E60:E61)</f>
        <v>14489</v>
      </c>
      <c r="F62" s="233">
        <f>SUM(F60:F61)</f>
        <v>2832</v>
      </c>
      <c r="G62" s="233">
        <f>SUM(G60:G61)</f>
        <v>28978</v>
      </c>
      <c r="O62" s="168"/>
      <c r="P62" s="1"/>
      <c r="Q62" s="76"/>
      <c r="R62" s="1"/>
    </row>
  </sheetData>
  <mergeCells count="19">
    <mergeCell ref="M5:P5"/>
    <mergeCell ref="Q5:Q6"/>
    <mergeCell ref="R5:R6"/>
    <mergeCell ref="S5:S6"/>
    <mergeCell ref="A1:S1"/>
    <mergeCell ref="A2:S2"/>
    <mergeCell ref="A3:S3"/>
    <mergeCell ref="A5:A6"/>
    <mergeCell ref="B5:B6"/>
    <mergeCell ref="C5:C6"/>
    <mergeCell ref="D5:D6"/>
    <mergeCell ref="E5:E6"/>
    <mergeCell ref="G5:G6"/>
    <mergeCell ref="H5:H6"/>
    <mergeCell ref="B57:C57"/>
    <mergeCell ref="F5:F6"/>
    <mergeCell ref="A52:F52"/>
    <mergeCell ref="I5:J5"/>
    <mergeCell ref="K5:L5"/>
  </mergeCells>
  <printOptions horizontalCentered="1"/>
  <pageMargins left="0.15748031496062992" right="0.19685039370078741" top="0.27559055118110237" bottom="0.11811023622047245" header="0.31496062992125984" footer="0.15748031496062992"/>
  <pageSetup paperSize="9" scale="60" orientation="landscape" horizontalDpi="4294967293" r:id="rId1"/>
  <rowBreaks count="1" manualBreakCount="1">
    <brk id="38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EE628-A468-4715-97DA-A48C9B3842BD}">
  <dimension ref="A1:R57"/>
  <sheetViews>
    <sheetView view="pageBreakPreview" zoomScale="70" zoomScaleNormal="90" zoomScaleSheetLayoutView="7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O15" sqref="O15"/>
    </sheetView>
  </sheetViews>
  <sheetFormatPr defaultColWidth="9" defaultRowHeight="21.75"/>
  <cols>
    <col min="1" max="1" width="9" style="120"/>
    <col min="2" max="2" width="26" style="1" bestFit="1" customWidth="1"/>
    <col min="3" max="3" width="24.5703125" style="1" customWidth="1"/>
    <col min="4" max="4" width="22.140625" style="2" customWidth="1"/>
    <col min="5" max="5" width="17.5703125" style="1" customWidth="1"/>
    <col min="6" max="6" width="12.28515625" style="1" bestFit="1" customWidth="1"/>
    <col min="7" max="7" width="14.7109375" style="1" bestFit="1" customWidth="1"/>
    <col min="8" max="8" width="5" style="1" bestFit="1" customWidth="1"/>
    <col min="9" max="9" width="7.5703125" style="1" bestFit="1" customWidth="1"/>
    <col min="10" max="10" width="3.7109375" style="1" hidden="1" customWidth="1"/>
    <col min="11" max="11" width="7" style="1" hidden="1" customWidth="1"/>
    <col min="12" max="12" width="6.7109375" style="1" hidden="1" customWidth="1"/>
    <col min="13" max="13" width="10.42578125" style="1" bestFit="1" customWidth="1"/>
    <col min="14" max="14" width="13" style="1" bestFit="1" customWidth="1"/>
    <col min="15" max="15" width="11.85546875" style="168" bestFit="1" customWidth="1"/>
    <col min="16" max="16" width="14.42578125" style="1" bestFit="1" customWidth="1"/>
    <col min="17" max="17" width="19.28515625" style="76" bestFit="1" customWidth="1"/>
    <col min="18" max="18" width="26.85546875" style="1" bestFit="1" customWidth="1"/>
    <col min="19" max="16384" width="9" style="1"/>
  </cols>
  <sheetData>
    <row r="1" spans="1:18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</row>
    <row r="2" spans="1:18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</row>
    <row r="3" spans="1:18">
      <c r="A3" s="381" t="s">
        <v>188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</row>
    <row r="4" spans="1:18" ht="22.5" thickBot="1">
      <c r="A4" s="118"/>
      <c r="B4" s="9"/>
      <c r="C4" s="9"/>
      <c r="D4" s="48"/>
      <c r="E4" s="9"/>
      <c r="F4" s="10"/>
      <c r="G4" s="9"/>
      <c r="H4" s="9"/>
      <c r="I4" s="9"/>
      <c r="J4" s="9"/>
      <c r="K4" s="9"/>
      <c r="L4" s="9"/>
      <c r="M4" s="9"/>
      <c r="N4" s="9"/>
      <c r="O4" s="163"/>
      <c r="P4" s="9"/>
      <c r="R4" s="9"/>
    </row>
    <row r="5" spans="1:18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6" t="s">
        <v>6</v>
      </c>
      <c r="G5" s="388" t="s">
        <v>7</v>
      </c>
      <c r="H5" s="390" t="s">
        <v>8</v>
      </c>
      <c r="I5" s="391"/>
      <c r="J5" s="392" t="s">
        <v>9</v>
      </c>
      <c r="K5" s="393"/>
      <c r="L5" s="411" t="s">
        <v>10</v>
      </c>
      <c r="M5" s="412"/>
      <c r="N5" s="412"/>
      <c r="O5" s="413"/>
      <c r="P5" s="395" t="s">
        <v>11</v>
      </c>
      <c r="Q5" s="421" t="s">
        <v>161</v>
      </c>
      <c r="R5" s="376" t="s">
        <v>12</v>
      </c>
    </row>
    <row r="6" spans="1:18" ht="66" thickBot="1">
      <c r="A6" s="415"/>
      <c r="B6" s="383"/>
      <c r="C6" s="385"/>
      <c r="D6" s="423"/>
      <c r="E6" s="383"/>
      <c r="F6" s="387"/>
      <c r="G6" s="389"/>
      <c r="H6" s="11" t="s">
        <v>13</v>
      </c>
      <c r="I6" s="11" t="s">
        <v>14</v>
      </c>
      <c r="J6" s="12" t="s">
        <v>15</v>
      </c>
      <c r="K6" s="12" t="s">
        <v>16</v>
      </c>
      <c r="L6" s="11" t="s">
        <v>17</v>
      </c>
      <c r="M6" s="11" t="s">
        <v>18</v>
      </c>
      <c r="N6" s="153" t="s">
        <v>160</v>
      </c>
      <c r="O6" s="164" t="s">
        <v>150</v>
      </c>
      <c r="P6" s="396"/>
      <c r="Q6" s="421"/>
      <c r="R6" s="377"/>
    </row>
    <row r="7" spans="1:18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03">
        <v>14600</v>
      </c>
      <c r="G7" s="107"/>
      <c r="H7" s="107"/>
      <c r="I7" s="107"/>
      <c r="J7" s="107"/>
      <c r="K7" s="107"/>
      <c r="L7" s="109"/>
      <c r="M7" s="103"/>
      <c r="N7" s="103">
        <f>ROUND(F7*2.5%,0)</f>
        <v>365</v>
      </c>
      <c r="O7" s="98"/>
      <c r="P7" s="103">
        <f>SUM(F7-N7-O7)</f>
        <v>14235</v>
      </c>
      <c r="Q7" s="116">
        <f>ROUND(F7*2.5%,0)</f>
        <v>365</v>
      </c>
      <c r="R7" s="152"/>
    </row>
    <row r="8" spans="1:18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03">
        <v>13500</v>
      </c>
      <c r="G8" s="107"/>
      <c r="H8" s="107"/>
      <c r="I8" s="107"/>
      <c r="J8" s="107"/>
      <c r="K8" s="107"/>
      <c r="L8" s="109"/>
      <c r="M8" s="103"/>
      <c r="N8" s="103">
        <f t="shared" ref="N8:N50" si="0">ROUND(F8*2.5%,0)</f>
        <v>338</v>
      </c>
      <c r="O8" s="98"/>
      <c r="P8" s="103">
        <f t="shared" ref="P8:P51" si="1">SUM(F8-N8-O8)</f>
        <v>13162</v>
      </c>
      <c r="Q8" s="116">
        <f t="shared" ref="Q8:Q50" si="2">ROUND(F8*2.5%,0)</f>
        <v>338</v>
      </c>
      <c r="R8" s="100"/>
    </row>
    <row r="9" spans="1:18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03">
        <v>13400</v>
      </c>
      <c r="G9" s="107"/>
      <c r="H9" s="107"/>
      <c r="I9" s="107"/>
      <c r="J9" s="107"/>
      <c r="K9" s="107"/>
      <c r="L9" s="109"/>
      <c r="M9" s="103"/>
      <c r="N9" s="103">
        <f t="shared" si="0"/>
        <v>335</v>
      </c>
      <c r="O9" s="98"/>
      <c r="P9" s="103">
        <f t="shared" si="1"/>
        <v>13065</v>
      </c>
      <c r="Q9" s="116">
        <f t="shared" si="2"/>
        <v>335</v>
      </c>
      <c r="R9" s="100"/>
    </row>
    <row r="10" spans="1:18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03">
        <v>16500</v>
      </c>
      <c r="G10" s="107"/>
      <c r="H10" s="107"/>
      <c r="I10" s="107"/>
      <c r="J10" s="107"/>
      <c r="K10" s="107"/>
      <c r="L10" s="109"/>
      <c r="M10" s="103"/>
      <c r="N10" s="103">
        <v>375</v>
      </c>
      <c r="O10" s="98">
        <v>651</v>
      </c>
      <c r="P10" s="103">
        <f t="shared" si="1"/>
        <v>15474</v>
      </c>
      <c r="Q10" s="116">
        <v>375</v>
      </c>
      <c r="R10" s="100"/>
    </row>
    <row r="11" spans="1:18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03">
        <v>17300</v>
      </c>
      <c r="G11" s="107"/>
      <c r="H11" s="107"/>
      <c r="I11" s="107"/>
      <c r="J11" s="107"/>
      <c r="K11" s="107"/>
      <c r="L11" s="109"/>
      <c r="M11" s="103"/>
      <c r="N11" s="103">
        <v>375</v>
      </c>
      <c r="O11" s="98"/>
      <c r="P11" s="103">
        <f t="shared" si="1"/>
        <v>16925</v>
      </c>
      <c r="Q11" s="116">
        <v>375</v>
      </c>
      <c r="R11" s="100"/>
    </row>
    <row r="12" spans="1:18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03">
        <v>19000</v>
      </c>
      <c r="G12" s="107"/>
      <c r="H12" s="107"/>
      <c r="I12" s="107"/>
      <c r="J12" s="107"/>
      <c r="K12" s="107"/>
      <c r="L12" s="109"/>
      <c r="M12" s="103"/>
      <c r="N12" s="103">
        <v>375</v>
      </c>
      <c r="O12" s="98"/>
      <c r="P12" s="103">
        <f t="shared" si="1"/>
        <v>18625</v>
      </c>
      <c r="Q12" s="116">
        <v>375</v>
      </c>
      <c r="R12" s="100"/>
    </row>
    <row r="13" spans="1:18" s="110" customFormat="1">
      <c r="A13" s="117">
        <v>7</v>
      </c>
      <c r="B13" s="106" t="s">
        <v>38</v>
      </c>
      <c r="C13" s="107" t="s">
        <v>39</v>
      </c>
      <c r="D13" s="97">
        <v>1361200122408</v>
      </c>
      <c r="E13" s="107" t="s">
        <v>32</v>
      </c>
      <c r="F13" s="103">
        <v>25000</v>
      </c>
      <c r="G13" s="107"/>
      <c r="H13" s="107"/>
      <c r="I13" s="107"/>
      <c r="J13" s="107"/>
      <c r="K13" s="107"/>
      <c r="L13" s="109"/>
      <c r="M13" s="103"/>
      <c r="N13" s="103">
        <v>375</v>
      </c>
      <c r="O13" s="98">
        <v>1476</v>
      </c>
      <c r="P13" s="103">
        <f t="shared" si="1"/>
        <v>23149</v>
      </c>
      <c r="Q13" s="116">
        <v>375</v>
      </c>
      <c r="R13" s="100"/>
    </row>
    <row r="14" spans="1:18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03">
        <v>20500</v>
      </c>
      <c r="G14" s="107"/>
      <c r="H14" s="107"/>
      <c r="I14" s="107"/>
      <c r="J14" s="107"/>
      <c r="K14" s="107"/>
      <c r="L14" s="109"/>
      <c r="M14" s="103"/>
      <c r="N14" s="103">
        <v>375</v>
      </c>
      <c r="O14" s="98">
        <v>705</v>
      </c>
      <c r="P14" s="103">
        <f t="shared" si="1"/>
        <v>19420</v>
      </c>
      <c r="Q14" s="116">
        <v>375</v>
      </c>
      <c r="R14" s="100"/>
    </row>
    <row r="15" spans="1:18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03">
        <v>25000</v>
      </c>
      <c r="G15" s="107"/>
      <c r="H15" s="107"/>
      <c r="I15" s="107"/>
      <c r="J15" s="107"/>
      <c r="K15" s="107"/>
      <c r="L15" s="109"/>
      <c r="M15" s="103"/>
      <c r="N15" s="103">
        <v>375</v>
      </c>
      <c r="O15" s="98"/>
      <c r="P15" s="103">
        <f t="shared" si="1"/>
        <v>24625</v>
      </c>
      <c r="Q15" s="116">
        <v>375</v>
      </c>
      <c r="R15" s="100"/>
    </row>
    <row r="16" spans="1:18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03">
        <v>19700</v>
      </c>
      <c r="G16" s="107"/>
      <c r="H16" s="107"/>
      <c r="I16" s="107"/>
      <c r="J16" s="107"/>
      <c r="K16" s="107"/>
      <c r="L16" s="109"/>
      <c r="M16" s="103"/>
      <c r="N16" s="103">
        <v>375</v>
      </c>
      <c r="O16" s="98"/>
      <c r="P16" s="103">
        <f t="shared" si="1"/>
        <v>19325</v>
      </c>
      <c r="Q16" s="116">
        <v>375</v>
      </c>
      <c r="R16" s="100"/>
    </row>
    <row r="17" spans="1:18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03">
        <v>17600</v>
      </c>
      <c r="G17" s="107"/>
      <c r="H17" s="107"/>
      <c r="I17" s="107"/>
      <c r="J17" s="107"/>
      <c r="K17" s="107"/>
      <c r="L17" s="109"/>
      <c r="M17" s="103"/>
      <c r="N17" s="103">
        <v>375</v>
      </c>
      <c r="O17" s="98"/>
      <c r="P17" s="103">
        <f t="shared" si="1"/>
        <v>17225</v>
      </c>
      <c r="Q17" s="116">
        <v>375</v>
      </c>
      <c r="R17" s="100"/>
    </row>
    <row r="18" spans="1:18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03">
        <v>25000</v>
      </c>
      <c r="G18" s="107"/>
      <c r="H18" s="107"/>
      <c r="I18" s="107"/>
      <c r="J18" s="107"/>
      <c r="K18" s="107"/>
      <c r="L18" s="109"/>
      <c r="M18" s="103"/>
      <c r="N18" s="103">
        <v>375</v>
      </c>
      <c r="O18" s="98"/>
      <c r="P18" s="103">
        <f t="shared" si="1"/>
        <v>24625</v>
      </c>
      <c r="Q18" s="116">
        <v>375</v>
      </c>
      <c r="R18" s="100"/>
    </row>
    <row r="19" spans="1:18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03">
        <v>22700</v>
      </c>
      <c r="G19" s="107"/>
      <c r="H19" s="107"/>
      <c r="I19" s="107"/>
      <c r="J19" s="107"/>
      <c r="K19" s="107"/>
      <c r="L19" s="109"/>
      <c r="M19" s="103"/>
      <c r="N19" s="103">
        <v>375</v>
      </c>
      <c r="O19" s="98"/>
      <c r="P19" s="103">
        <f t="shared" si="1"/>
        <v>22325</v>
      </c>
      <c r="Q19" s="116">
        <v>375</v>
      </c>
      <c r="R19" s="100"/>
    </row>
    <row r="20" spans="1:18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03">
        <v>23500</v>
      </c>
      <c r="G20" s="107"/>
      <c r="H20" s="107"/>
      <c r="I20" s="107"/>
      <c r="J20" s="107"/>
      <c r="K20" s="107"/>
      <c r="L20" s="109"/>
      <c r="M20" s="103"/>
      <c r="N20" s="103">
        <v>375</v>
      </c>
      <c r="O20" s="98"/>
      <c r="P20" s="103">
        <f t="shared" si="1"/>
        <v>23125</v>
      </c>
      <c r="Q20" s="116">
        <v>375</v>
      </c>
      <c r="R20" s="100"/>
    </row>
    <row r="21" spans="1:18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03">
        <v>25000</v>
      </c>
      <c r="G21" s="107"/>
      <c r="H21" s="107"/>
      <c r="I21" s="107"/>
      <c r="J21" s="107"/>
      <c r="K21" s="107"/>
      <c r="L21" s="109"/>
      <c r="M21" s="103"/>
      <c r="N21" s="103">
        <v>375</v>
      </c>
      <c r="O21" s="98"/>
      <c r="P21" s="103">
        <f t="shared" si="1"/>
        <v>24625</v>
      </c>
      <c r="Q21" s="116">
        <v>375</v>
      </c>
      <c r="R21" s="100"/>
    </row>
    <row r="22" spans="1:18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03">
        <v>25000</v>
      </c>
      <c r="G22" s="107"/>
      <c r="H22" s="107"/>
      <c r="I22" s="107"/>
      <c r="J22" s="107"/>
      <c r="K22" s="107"/>
      <c r="L22" s="109"/>
      <c r="M22" s="103"/>
      <c r="N22" s="103">
        <v>375</v>
      </c>
      <c r="O22" s="98"/>
      <c r="P22" s="103">
        <f t="shared" si="1"/>
        <v>24625</v>
      </c>
      <c r="Q22" s="116">
        <v>375</v>
      </c>
      <c r="R22" s="100"/>
    </row>
    <row r="23" spans="1:18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03">
        <v>25000</v>
      </c>
      <c r="G23" s="107"/>
      <c r="H23" s="107"/>
      <c r="I23" s="107"/>
      <c r="J23" s="107"/>
      <c r="K23" s="107"/>
      <c r="L23" s="109"/>
      <c r="M23" s="103"/>
      <c r="N23" s="103">
        <v>375</v>
      </c>
      <c r="O23" s="98"/>
      <c r="P23" s="103">
        <f t="shared" si="1"/>
        <v>24625</v>
      </c>
      <c r="Q23" s="116">
        <v>375</v>
      </c>
      <c r="R23" s="100"/>
    </row>
    <row r="24" spans="1:18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03">
        <v>25000</v>
      </c>
      <c r="G24" s="107"/>
      <c r="H24" s="107"/>
      <c r="I24" s="107"/>
      <c r="J24" s="107"/>
      <c r="K24" s="107"/>
      <c r="L24" s="109"/>
      <c r="M24" s="103"/>
      <c r="N24" s="103">
        <v>375</v>
      </c>
      <c r="O24" s="98"/>
      <c r="P24" s="103">
        <f t="shared" si="1"/>
        <v>24625</v>
      </c>
      <c r="Q24" s="116">
        <v>375</v>
      </c>
      <c r="R24" s="100"/>
    </row>
    <row r="25" spans="1:18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03">
        <v>25000</v>
      </c>
      <c r="G25" s="107"/>
      <c r="H25" s="107"/>
      <c r="I25" s="107"/>
      <c r="J25" s="107"/>
      <c r="K25" s="107"/>
      <c r="L25" s="109"/>
      <c r="M25" s="103"/>
      <c r="N25" s="103">
        <v>375</v>
      </c>
      <c r="O25" s="98"/>
      <c r="P25" s="103">
        <f t="shared" si="1"/>
        <v>24625</v>
      </c>
      <c r="Q25" s="116">
        <v>375</v>
      </c>
      <c r="R25" s="100"/>
    </row>
    <row r="26" spans="1:18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03">
        <v>25000</v>
      </c>
      <c r="G26" s="107"/>
      <c r="H26" s="107"/>
      <c r="I26" s="107"/>
      <c r="J26" s="107"/>
      <c r="K26" s="107"/>
      <c r="L26" s="109"/>
      <c r="M26" s="103"/>
      <c r="N26" s="103">
        <v>375</v>
      </c>
      <c r="O26" s="98"/>
      <c r="P26" s="103">
        <f t="shared" si="1"/>
        <v>24625</v>
      </c>
      <c r="Q26" s="116">
        <v>375</v>
      </c>
      <c r="R26" s="100"/>
    </row>
    <row r="27" spans="1:18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24">
        <f>+H27*I27</f>
        <v>4000</v>
      </c>
      <c r="G27" s="123"/>
      <c r="H27" s="123">
        <v>400</v>
      </c>
      <c r="I27" s="123">
        <v>10</v>
      </c>
      <c r="J27" s="123"/>
      <c r="K27" s="123"/>
      <c r="L27" s="126"/>
      <c r="M27" s="124"/>
      <c r="N27" s="124">
        <f t="shared" si="0"/>
        <v>100</v>
      </c>
      <c r="O27" s="135"/>
      <c r="P27" s="124">
        <f t="shared" si="1"/>
        <v>3900</v>
      </c>
      <c r="Q27" s="128">
        <f t="shared" si="2"/>
        <v>100</v>
      </c>
      <c r="R27" s="124"/>
    </row>
    <row r="28" spans="1:18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24">
        <f>+H28*I28</f>
        <v>7560</v>
      </c>
      <c r="G28" s="123"/>
      <c r="H28" s="123">
        <v>360</v>
      </c>
      <c r="I28" s="123">
        <v>21</v>
      </c>
      <c r="J28" s="123"/>
      <c r="K28" s="123"/>
      <c r="L28" s="126"/>
      <c r="M28" s="124"/>
      <c r="N28" s="124">
        <f t="shared" si="0"/>
        <v>189</v>
      </c>
      <c r="O28" s="135"/>
      <c r="P28" s="124">
        <f t="shared" si="1"/>
        <v>7371</v>
      </c>
      <c r="Q28" s="128">
        <f t="shared" si="2"/>
        <v>189</v>
      </c>
      <c r="R28" s="124"/>
    </row>
    <row r="29" spans="1:18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03">
        <v>25000</v>
      </c>
      <c r="G29" s="107"/>
      <c r="H29" s="107"/>
      <c r="I29" s="107"/>
      <c r="J29" s="107"/>
      <c r="K29" s="107"/>
      <c r="L29" s="109"/>
      <c r="M29" s="103"/>
      <c r="N29" s="103">
        <v>375</v>
      </c>
      <c r="O29" s="98"/>
      <c r="P29" s="103">
        <f t="shared" si="1"/>
        <v>24625</v>
      </c>
      <c r="Q29" s="98">
        <v>375</v>
      </c>
      <c r="R29" s="100"/>
    </row>
    <row r="30" spans="1:18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03">
        <v>15500</v>
      </c>
      <c r="G30" s="113" t="s">
        <v>80</v>
      </c>
      <c r="H30" s="107"/>
      <c r="I30" s="107"/>
      <c r="J30" s="107"/>
      <c r="K30" s="107"/>
      <c r="L30" s="109"/>
      <c r="M30" s="103"/>
      <c r="N30" s="103">
        <v>375</v>
      </c>
      <c r="O30" s="98"/>
      <c r="P30" s="103">
        <f t="shared" si="1"/>
        <v>15125</v>
      </c>
      <c r="Q30" s="116">
        <v>375</v>
      </c>
      <c r="R30" s="100"/>
    </row>
    <row r="31" spans="1:18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98">
        <v>15500</v>
      </c>
      <c r="G31" s="113" t="s">
        <v>83</v>
      </c>
      <c r="H31" s="95"/>
      <c r="I31" s="95"/>
      <c r="J31" s="95"/>
      <c r="K31" s="95"/>
      <c r="L31" s="109"/>
      <c r="M31" s="103"/>
      <c r="N31" s="103">
        <v>375</v>
      </c>
      <c r="O31" s="98"/>
      <c r="P31" s="103">
        <f t="shared" si="1"/>
        <v>15125</v>
      </c>
      <c r="Q31" s="116">
        <v>375</v>
      </c>
      <c r="R31" s="100"/>
    </row>
    <row r="32" spans="1:18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03">
        <v>25000</v>
      </c>
      <c r="G32" s="108" t="s">
        <v>88</v>
      </c>
      <c r="H32" s="107"/>
      <c r="I32" s="107"/>
      <c r="J32" s="107"/>
      <c r="K32" s="107"/>
      <c r="L32" s="109"/>
      <c r="M32" s="103"/>
      <c r="N32" s="103">
        <v>375</v>
      </c>
      <c r="O32" s="98"/>
      <c r="P32" s="103">
        <f t="shared" si="1"/>
        <v>24625</v>
      </c>
      <c r="Q32" s="116">
        <v>375</v>
      </c>
      <c r="R32" s="102"/>
    </row>
    <row r="33" spans="1:18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24">
        <f>+H33*I33</f>
        <v>8360</v>
      </c>
      <c r="G33" s="125" t="s">
        <v>88</v>
      </c>
      <c r="H33" s="123">
        <v>380</v>
      </c>
      <c r="I33" s="123">
        <v>22</v>
      </c>
      <c r="J33" s="123"/>
      <c r="K33" s="123"/>
      <c r="L33" s="126"/>
      <c r="M33" s="124"/>
      <c r="N33" s="124">
        <f>ROUND(F33*2.5%,0)</f>
        <v>209</v>
      </c>
      <c r="O33" s="135"/>
      <c r="P33" s="124">
        <f t="shared" si="1"/>
        <v>8151</v>
      </c>
      <c r="Q33" s="128">
        <f t="shared" si="2"/>
        <v>209</v>
      </c>
      <c r="R33" s="127"/>
    </row>
    <row r="34" spans="1:18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03">
        <v>16200</v>
      </c>
      <c r="G34" s="108" t="s">
        <v>93</v>
      </c>
      <c r="H34" s="107"/>
      <c r="I34" s="107"/>
      <c r="J34" s="107"/>
      <c r="K34" s="107"/>
      <c r="L34" s="109"/>
      <c r="M34" s="103"/>
      <c r="N34" s="103">
        <v>375</v>
      </c>
      <c r="O34" s="98"/>
      <c r="P34" s="103">
        <f t="shared" si="1"/>
        <v>15825</v>
      </c>
      <c r="Q34" s="116">
        <v>375</v>
      </c>
      <c r="R34" s="100"/>
    </row>
    <row r="35" spans="1:18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24">
        <f>H35*I35</f>
        <v>7590</v>
      </c>
      <c r="G35" s="125" t="s">
        <v>96</v>
      </c>
      <c r="H35" s="123">
        <v>330</v>
      </c>
      <c r="I35" s="123">
        <v>23</v>
      </c>
      <c r="J35" s="123"/>
      <c r="K35" s="123"/>
      <c r="L35" s="126"/>
      <c r="M35" s="124"/>
      <c r="N35" s="124">
        <f t="shared" si="0"/>
        <v>190</v>
      </c>
      <c r="O35" s="135"/>
      <c r="P35" s="124">
        <f t="shared" si="1"/>
        <v>7400</v>
      </c>
      <c r="Q35" s="128">
        <f t="shared" si="2"/>
        <v>190</v>
      </c>
      <c r="R35" s="127"/>
    </row>
    <row r="36" spans="1:18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24">
        <f t="shared" ref="F36:F42" si="3">H36*I36</f>
        <v>7260</v>
      </c>
      <c r="G36" s="125" t="s">
        <v>96</v>
      </c>
      <c r="H36" s="123">
        <v>330</v>
      </c>
      <c r="I36" s="123">
        <v>22</v>
      </c>
      <c r="J36" s="123"/>
      <c r="K36" s="123"/>
      <c r="L36" s="126"/>
      <c r="M36" s="124"/>
      <c r="N36" s="124">
        <f t="shared" si="0"/>
        <v>182</v>
      </c>
      <c r="O36" s="135"/>
      <c r="P36" s="124">
        <f t="shared" si="1"/>
        <v>7078</v>
      </c>
      <c r="Q36" s="128">
        <f t="shared" si="2"/>
        <v>182</v>
      </c>
      <c r="R36" s="127"/>
    </row>
    <row r="37" spans="1:18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24">
        <f t="shared" si="3"/>
        <v>6930</v>
      </c>
      <c r="G37" s="125" t="s">
        <v>96</v>
      </c>
      <c r="H37" s="123">
        <v>330</v>
      </c>
      <c r="I37" s="123">
        <v>21</v>
      </c>
      <c r="J37" s="123"/>
      <c r="K37" s="123"/>
      <c r="L37" s="126"/>
      <c r="M37" s="124"/>
      <c r="N37" s="124">
        <f t="shared" si="0"/>
        <v>173</v>
      </c>
      <c r="O37" s="135"/>
      <c r="P37" s="124">
        <f t="shared" si="1"/>
        <v>6757</v>
      </c>
      <c r="Q37" s="128">
        <f t="shared" si="2"/>
        <v>173</v>
      </c>
      <c r="R37" s="124"/>
    </row>
    <row r="38" spans="1:18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24">
        <f t="shared" si="3"/>
        <v>7590</v>
      </c>
      <c r="G38" s="125" t="s">
        <v>96</v>
      </c>
      <c r="H38" s="123">
        <v>330</v>
      </c>
      <c r="I38" s="123">
        <v>23</v>
      </c>
      <c r="J38" s="123"/>
      <c r="K38" s="123"/>
      <c r="L38" s="126"/>
      <c r="M38" s="124"/>
      <c r="N38" s="124">
        <f t="shared" si="0"/>
        <v>190</v>
      </c>
      <c r="O38" s="135"/>
      <c r="P38" s="124">
        <f t="shared" si="1"/>
        <v>7400</v>
      </c>
      <c r="Q38" s="128">
        <f t="shared" si="2"/>
        <v>190</v>
      </c>
      <c r="R38" s="124"/>
    </row>
    <row r="39" spans="1:18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24">
        <f t="shared" si="3"/>
        <v>9200</v>
      </c>
      <c r="G39" s="133" t="s">
        <v>107</v>
      </c>
      <c r="H39" s="132">
        <v>400</v>
      </c>
      <c r="I39" s="132">
        <v>23</v>
      </c>
      <c r="J39" s="132"/>
      <c r="K39" s="132"/>
      <c r="L39" s="134"/>
      <c r="M39" s="135"/>
      <c r="N39" s="124">
        <f t="shared" si="0"/>
        <v>230</v>
      </c>
      <c r="O39" s="135"/>
      <c r="P39" s="124">
        <f t="shared" si="1"/>
        <v>8970</v>
      </c>
      <c r="Q39" s="128">
        <f t="shared" si="2"/>
        <v>230</v>
      </c>
      <c r="R39" s="124"/>
    </row>
    <row r="40" spans="1:18" s="136" customFormat="1">
      <c r="A40" s="121">
        <v>34</v>
      </c>
      <c r="B40" s="131" t="s">
        <v>110</v>
      </c>
      <c r="C40" s="137">
        <v>6016300837717</v>
      </c>
      <c r="D40" s="137">
        <v>991019747856</v>
      </c>
      <c r="E40" s="132" t="s">
        <v>95</v>
      </c>
      <c r="F40" s="124">
        <f t="shared" si="3"/>
        <v>7920</v>
      </c>
      <c r="G40" s="133" t="s">
        <v>111</v>
      </c>
      <c r="H40" s="132">
        <v>330</v>
      </c>
      <c r="I40" s="132">
        <v>24</v>
      </c>
      <c r="J40" s="132"/>
      <c r="K40" s="132"/>
      <c r="L40" s="134"/>
      <c r="M40" s="135"/>
      <c r="N40" s="124">
        <f t="shared" si="0"/>
        <v>198</v>
      </c>
      <c r="O40" s="135"/>
      <c r="P40" s="124">
        <f t="shared" si="1"/>
        <v>7722</v>
      </c>
      <c r="Q40" s="128">
        <f t="shared" si="2"/>
        <v>198</v>
      </c>
      <c r="R40" s="124"/>
    </row>
    <row r="41" spans="1:18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24">
        <f t="shared" si="3"/>
        <v>7590</v>
      </c>
      <c r="G41" s="133" t="s">
        <v>111</v>
      </c>
      <c r="H41" s="132">
        <v>330</v>
      </c>
      <c r="I41" s="132">
        <v>23</v>
      </c>
      <c r="J41" s="132"/>
      <c r="K41" s="132"/>
      <c r="L41" s="134"/>
      <c r="M41" s="135"/>
      <c r="N41" s="124">
        <f t="shared" si="0"/>
        <v>190</v>
      </c>
      <c r="O41" s="135"/>
      <c r="P41" s="124">
        <f t="shared" si="1"/>
        <v>7400</v>
      </c>
      <c r="Q41" s="128">
        <f t="shared" si="2"/>
        <v>190</v>
      </c>
      <c r="R41" s="124"/>
    </row>
    <row r="42" spans="1:18" s="136" customFormat="1">
      <c r="A42" s="121">
        <v>36</v>
      </c>
      <c r="B42" s="131" t="s">
        <v>113</v>
      </c>
      <c r="C42" s="137">
        <v>6016300837750</v>
      </c>
      <c r="D42" s="137">
        <v>991019747686</v>
      </c>
      <c r="E42" s="132" t="s">
        <v>95</v>
      </c>
      <c r="F42" s="124">
        <f t="shared" si="3"/>
        <v>7920</v>
      </c>
      <c r="G42" s="133" t="s">
        <v>111</v>
      </c>
      <c r="H42" s="132">
        <v>330</v>
      </c>
      <c r="I42" s="132">
        <v>24</v>
      </c>
      <c r="J42" s="132"/>
      <c r="K42" s="132"/>
      <c r="L42" s="134"/>
      <c r="M42" s="135"/>
      <c r="N42" s="124">
        <f t="shared" si="0"/>
        <v>198</v>
      </c>
      <c r="O42" s="135"/>
      <c r="P42" s="124">
        <f t="shared" si="1"/>
        <v>7722</v>
      </c>
      <c r="Q42" s="128">
        <f t="shared" si="2"/>
        <v>198</v>
      </c>
      <c r="R42" s="132"/>
    </row>
    <row r="43" spans="1:18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03">
        <v>25000</v>
      </c>
      <c r="G43" s="112" t="s">
        <v>101</v>
      </c>
      <c r="H43" s="107"/>
      <c r="I43" s="107"/>
      <c r="J43" s="107"/>
      <c r="K43" s="107"/>
      <c r="L43" s="109"/>
      <c r="M43" s="103"/>
      <c r="N43" s="103">
        <v>375</v>
      </c>
      <c r="O43" s="98"/>
      <c r="P43" s="103">
        <f t="shared" si="1"/>
        <v>24625</v>
      </c>
      <c r="Q43" s="116">
        <v>375</v>
      </c>
      <c r="R43" s="100"/>
    </row>
    <row r="44" spans="1:18" s="129" customFormat="1">
      <c r="A44" s="121">
        <v>38</v>
      </c>
      <c r="B44" s="122" t="s">
        <v>102</v>
      </c>
      <c r="C44" s="130">
        <v>220062001228</v>
      </c>
      <c r="D44" s="137">
        <v>991017408884</v>
      </c>
      <c r="E44" s="123" t="s">
        <v>95</v>
      </c>
      <c r="F44" s="124">
        <f>+H44*I44</f>
        <v>7920</v>
      </c>
      <c r="G44" s="138" t="s">
        <v>106</v>
      </c>
      <c r="H44" s="123">
        <v>330</v>
      </c>
      <c r="I44" s="123">
        <v>24</v>
      </c>
      <c r="J44" s="123"/>
      <c r="K44" s="123"/>
      <c r="L44" s="126"/>
      <c r="M44" s="124"/>
      <c r="N44" s="124">
        <f t="shared" si="0"/>
        <v>198</v>
      </c>
      <c r="O44" s="135"/>
      <c r="P44" s="124">
        <f t="shared" si="1"/>
        <v>7722</v>
      </c>
      <c r="Q44" s="128">
        <f t="shared" si="2"/>
        <v>198</v>
      </c>
      <c r="R44" s="139"/>
    </row>
    <row r="45" spans="1:18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98">
        <v>12000</v>
      </c>
      <c r="G45" s="99" t="s">
        <v>115</v>
      </c>
      <c r="H45" s="100"/>
      <c r="I45" s="100"/>
      <c r="J45" s="100"/>
      <c r="K45" s="100"/>
      <c r="L45" s="101"/>
      <c r="M45" s="102"/>
      <c r="N45" s="103">
        <f t="shared" si="0"/>
        <v>300</v>
      </c>
      <c r="O45" s="98"/>
      <c r="P45" s="103">
        <f t="shared" si="1"/>
        <v>11700</v>
      </c>
      <c r="Q45" s="116">
        <f t="shared" si="2"/>
        <v>300</v>
      </c>
      <c r="R45" s="100"/>
    </row>
    <row r="46" spans="1:18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98">
        <v>15000</v>
      </c>
      <c r="G46" s="99" t="s">
        <v>119</v>
      </c>
      <c r="H46" s="95"/>
      <c r="I46" s="95"/>
      <c r="J46" s="95"/>
      <c r="K46" s="95"/>
      <c r="L46" s="115"/>
      <c r="M46" s="98"/>
      <c r="N46" s="103">
        <f t="shared" si="0"/>
        <v>375</v>
      </c>
      <c r="O46" s="98"/>
      <c r="P46" s="103">
        <f t="shared" si="1"/>
        <v>14625</v>
      </c>
      <c r="Q46" s="116">
        <f t="shared" si="2"/>
        <v>375</v>
      </c>
      <c r="R46" s="95"/>
    </row>
    <row r="47" spans="1:18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98">
        <v>15000</v>
      </c>
      <c r="G47" s="99" t="s">
        <v>119</v>
      </c>
      <c r="H47" s="95"/>
      <c r="I47" s="95"/>
      <c r="J47" s="95"/>
      <c r="K47" s="95"/>
      <c r="L47" s="115"/>
      <c r="M47" s="98"/>
      <c r="N47" s="103">
        <f t="shared" si="0"/>
        <v>375</v>
      </c>
      <c r="O47" s="98"/>
      <c r="P47" s="103">
        <f t="shared" si="1"/>
        <v>14625</v>
      </c>
      <c r="Q47" s="116">
        <f t="shared" si="2"/>
        <v>375</v>
      </c>
      <c r="R47" s="95"/>
    </row>
    <row r="48" spans="1:18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98">
        <v>15000</v>
      </c>
      <c r="G48" s="99" t="s">
        <v>119</v>
      </c>
      <c r="H48" s="95"/>
      <c r="I48" s="95"/>
      <c r="J48" s="95"/>
      <c r="K48" s="95"/>
      <c r="L48" s="115"/>
      <c r="M48" s="98"/>
      <c r="N48" s="103">
        <f t="shared" si="0"/>
        <v>375</v>
      </c>
      <c r="O48" s="98"/>
      <c r="P48" s="103">
        <f t="shared" si="1"/>
        <v>14625</v>
      </c>
      <c r="Q48" s="116">
        <f t="shared" si="2"/>
        <v>375</v>
      </c>
      <c r="R48" s="95"/>
    </row>
    <row r="49" spans="1:18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98">
        <v>15000</v>
      </c>
      <c r="G49" s="99" t="s">
        <v>119</v>
      </c>
      <c r="H49" s="95"/>
      <c r="I49" s="95"/>
      <c r="J49" s="95"/>
      <c r="K49" s="95"/>
      <c r="L49" s="115"/>
      <c r="M49" s="98"/>
      <c r="N49" s="103">
        <f t="shared" si="0"/>
        <v>375</v>
      </c>
      <c r="O49" s="98"/>
      <c r="P49" s="103">
        <f t="shared" si="1"/>
        <v>14625</v>
      </c>
      <c r="Q49" s="116">
        <f t="shared" si="2"/>
        <v>375</v>
      </c>
      <c r="R49" s="95"/>
    </row>
    <row r="50" spans="1:18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>
        <f>H50*I50</f>
        <v>7350</v>
      </c>
      <c r="G50" s="144" t="s">
        <v>139</v>
      </c>
      <c r="H50" s="143">
        <v>350</v>
      </c>
      <c r="I50" s="143">
        <v>21</v>
      </c>
      <c r="J50" s="143"/>
      <c r="K50" s="143"/>
      <c r="L50" s="145"/>
      <c r="M50" s="128"/>
      <c r="N50" s="124">
        <f t="shared" si="0"/>
        <v>184</v>
      </c>
      <c r="O50" s="128"/>
      <c r="P50" s="124">
        <f t="shared" si="1"/>
        <v>7166</v>
      </c>
      <c r="Q50" s="128">
        <f t="shared" si="2"/>
        <v>184</v>
      </c>
      <c r="R50" s="146"/>
    </row>
    <row r="51" spans="1:18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116">
        <v>23000</v>
      </c>
      <c r="G51" s="99" t="s">
        <v>164</v>
      </c>
      <c r="H51" s="95"/>
      <c r="I51" s="95"/>
      <c r="J51" s="183"/>
      <c r="K51" s="183"/>
      <c r="L51" s="184"/>
      <c r="M51" s="185"/>
      <c r="N51" s="103">
        <v>375</v>
      </c>
      <c r="O51" s="116"/>
      <c r="P51" s="103">
        <f t="shared" si="1"/>
        <v>22625</v>
      </c>
      <c r="Q51" s="116">
        <v>375</v>
      </c>
      <c r="R51" s="186"/>
    </row>
    <row r="52" spans="1:18" s="86" customFormat="1" ht="22.5" thickBot="1">
      <c r="A52" s="402" t="s">
        <v>103</v>
      </c>
      <c r="B52" s="402"/>
      <c r="C52" s="402"/>
      <c r="D52" s="402"/>
      <c r="E52" s="402"/>
      <c r="F52" s="89">
        <f>SUM(F7:F51)</f>
        <v>737690</v>
      </c>
      <c r="G52" s="87"/>
      <c r="H52" s="87"/>
      <c r="I52" s="87"/>
      <c r="J52" s="87"/>
      <c r="K52" s="87"/>
      <c r="L52" s="87"/>
      <c r="M52" s="87"/>
      <c r="N52" s="89">
        <f>SUM(N7:N51)</f>
        <v>14269</v>
      </c>
      <c r="O52" s="89">
        <f t="shared" ref="O52:Q52" si="4">SUM(O7:O51)</f>
        <v>2832</v>
      </c>
      <c r="P52" s="89">
        <f t="shared" si="4"/>
        <v>720589</v>
      </c>
      <c r="Q52" s="89">
        <f t="shared" si="4"/>
        <v>14269</v>
      </c>
      <c r="R52" s="88"/>
    </row>
    <row r="53" spans="1:18" ht="23.25" thickTop="1" thickBot="1">
      <c r="A53" s="119"/>
      <c r="B53" s="3"/>
      <c r="C53" s="3"/>
      <c r="D53" s="49"/>
      <c r="E53" s="3"/>
      <c r="F53" s="39"/>
      <c r="G53" s="39"/>
      <c r="H53" s="39"/>
      <c r="I53" s="39"/>
      <c r="J53" s="39"/>
      <c r="K53" s="39"/>
      <c r="L53" s="39"/>
      <c r="M53" s="39"/>
      <c r="N53" s="39"/>
      <c r="O53" s="166"/>
      <c r="P53" s="39"/>
      <c r="R53" s="5"/>
    </row>
    <row r="54" spans="1:18" ht="44.25" thickBot="1">
      <c r="A54" s="119"/>
      <c r="B54" s="50" t="s">
        <v>12</v>
      </c>
      <c r="C54" s="3"/>
      <c r="D54" s="49"/>
      <c r="E54" s="3"/>
      <c r="F54" s="39"/>
      <c r="G54" s="156" t="s">
        <v>145</v>
      </c>
      <c r="H54" s="39"/>
      <c r="I54" s="39"/>
      <c r="J54" s="39"/>
      <c r="K54" s="39"/>
      <c r="L54" s="39"/>
      <c r="M54" s="303" t="s">
        <v>158</v>
      </c>
      <c r="N54" s="153" t="s">
        <v>159</v>
      </c>
      <c r="O54" s="164" t="s">
        <v>150</v>
      </c>
      <c r="P54" s="153" t="s">
        <v>11</v>
      </c>
      <c r="R54" s="5"/>
    </row>
    <row r="55" spans="1:18">
      <c r="A55" s="119"/>
      <c r="B55" s="52" t="s">
        <v>156</v>
      </c>
      <c r="C55" s="149">
        <v>0</v>
      </c>
      <c r="D55" s="301"/>
      <c r="E55" s="54" t="s">
        <v>142</v>
      </c>
      <c r="F55" s="55" t="s">
        <v>140</v>
      </c>
      <c r="G55" s="170" t="s">
        <v>141</v>
      </c>
      <c r="H55" s="170">
        <v>13</v>
      </c>
      <c r="I55" s="171" t="s">
        <v>142</v>
      </c>
      <c r="J55" s="148"/>
      <c r="K55" s="148"/>
      <c r="M55" s="16">
        <f>+F27+F28+F33+F35+F36+F37+F38+F39+F40+F41+F42+F44+F50</f>
        <v>97190</v>
      </c>
      <c r="N55" s="16">
        <f>+N27+N28+N33+N35+N36+N37+N38+N39+N40+N41+N42+N44+N50</f>
        <v>2431</v>
      </c>
      <c r="O55" s="24">
        <v>0</v>
      </c>
      <c r="P55" s="175">
        <f>+P27+P28+P33+P35+P36+P37+P38+P39+P40+P41+P42+P44+P50</f>
        <v>94759</v>
      </c>
      <c r="R55" s="5"/>
    </row>
    <row r="56" spans="1:18">
      <c r="A56" s="119"/>
      <c r="B56" s="56" t="s">
        <v>137</v>
      </c>
      <c r="C56" s="150">
        <v>0</v>
      </c>
      <c r="D56" s="118"/>
      <c r="E56" s="6" t="s">
        <v>142</v>
      </c>
      <c r="F56" s="190" t="s">
        <v>162</v>
      </c>
      <c r="G56" s="173" t="s">
        <v>144</v>
      </c>
      <c r="H56" s="173">
        <v>32</v>
      </c>
      <c r="I56" s="174" t="s">
        <v>142</v>
      </c>
      <c r="J56" s="148"/>
      <c r="K56" s="148"/>
      <c r="M56" s="16">
        <f>+F7+F8+F9+F10+F11+F12+F13+F14+F15+F16+F17+F18+F19+F20+F21+F22+F23+F24+F25+F26+F29+F30+F31+F32+F34+F43+F45+F46+F47+F48+F49+F51</f>
        <v>640500</v>
      </c>
      <c r="N56" s="16">
        <f>+N7+N8+N9+N10+N11+N12+N13+N14+N15+N16+N17+N18+N19+N20+N21+N22+N23+N24+N25+N26+N29+N30+N31+N32+N34+N43+N45+N46+N47+N48+N49+N51</f>
        <v>11838</v>
      </c>
      <c r="O56" s="24">
        <f>+O10+O13+O14</f>
        <v>2832</v>
      </c>
      <c r="P56" s="16">
        <f>+P7+P8+P9+P10+P11+P12+P13+P14+P15+P16+P17+P18+P19+P20+P21+P22+P23+P24+P25+P26+P29+P30+P31+P32+P34+P43+P45+P46+P47+P48+P49+P51</f>
        <v>625830</v>
      </c>
      <c r="R56" s="5"/>
    </row>
    <row r="57" spans="1:18" ht="22.5" thickBot="1">
      <c r="A57" s="119"/>
      <c r="B57" s="419"/>
      <c r="C57" s="420"/>
      <c r="D57" s="300"/>
      <c r="E57" s="187"/>
      <c r="F57" s="188"/>
      <c r="G57" s="189" t="s">
        <v>147</v>
      </c>
      <c r="H57" s="69">
        <f>SUM(H55:H56)</f>
        <v>45</v>
      </c>
      <c r="I57" s="155" t="s">
        <v>142</v>
      </c>
      <c r="J57" s="154"/>
      <c r="K57" s="154"/>
      <c r="M57" s="176">
        <f>SUM(M55:M56)</f>
        <v>737690</v>
      </c>
      <c r="N57" s="176">
        <f>SUM(N55:N56)</f>
        <v>14269</v>
      </c>
      <c r="O57" s="177">
        <f>SUM(O55:O56)</f>
        <v>2832</v>
      </c>
      <c r="P57" s="176">
        <f>SUM(P55:P56)</f>
        <v>720589</v>
      </c>
    </row>
  </sheetData>
  <mergeCells count="18">
    <mergeCell ref="A52:E52"/>
    <mergeCell ref="B57:C57"/>
    <mergeCell ref="H5:I5"/>
    <mergeCell ref="J5:K5"/>
    <mergeCell ref="L5:O5"/>
    <mergeCell ref="P5:P6"/>
    <mergeCell ref="Q5:Q6"/>
    <mergeCell ref="R5:R6"/>
    <mergeCell ref="A1:R1"/>
    <mergeCell ref="A2:R2"/>
    <mergeCell ref="A3:R3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65" orientation="landscape" horizontalDpi="4294967293" r:id="rId1"/>
  <rowBreaks count="1" manualBreakCount="1">
    <brk id="2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87C4-280A-42A9-AC42-B9A29E821E4A}">
  <dimension ref="A1:S62"/>
  <sheetViews>
    <sheetView view="pageBreakPreview" zoomScale="70" zoomScaleNormal="90" zoomScaleSheetLayoutView="70" workbookViewId="0">
      <pane xSplit="7" ySplit="6" topLeftCell="H16" activePane="bottomRight" state="frozen"/>
      <selection pane="topRight" activeCell="G1" sqref="G1"/>
      <selection pane="bottomLeft" activeCell="A7" sqref="A7"/>
      <selection pane="bottomRight" activeCell="B27" sqref="B27"/>
    </sheetView>
  </sheetViews>
  <sheetFormatPr defaultColWidth="9" defaultRowHeight="21.75"/>
  <cols>
    <col min="1" max="1" width="9" style="120"/>
    <col min="2" max="2" width="26" style="1" bestFit="1" customWidth="1"/>
    <col min="3" max="3" width="24.5703125" style="1" customWidth="1"/>
    <col min="4" max="4" width="22.140625" style="2" customWidth="1"/>
    <col min="5" max="6" width="17.5703125" style="1" customWidth="1"/>
    <col min="7" max="7" width="12.28515625" style="1" bestFit="1" customWidth="1"/>
    <col min="8" max="8" width="14.7109375" style="1" bestFit="1" customWidth="1"/>
    <col min="9" max="9" width="5" style="1" bestFit="1" customWidth="1"/>
    <col min="10" max="10" width="7.5703125" style="1" bestFit="1" customWidth="1"/>
    <col min="11" max="11" width="3.7109375" style="1" hidden="1" customWidth="1"/>
    <col min="12" max="12" width="7" style="1" hidden="1" customWidth="1"/>
    <col min="13" max="13" width="6.7109375" style="1" hidden="1" customWidth="1"/>
    <col min="14" max="14" width="10.42578125" style="1" bestFit="1" customWidth="1"/>
    <col min="15" max="15" width="13" style="1" bestFit="1" customWidth="1"/>
    <col min="16" max="16" width="11.85546875" style="168" bestFit="1" customWidth="1"/>
    <col min="17" max="17" width="14.42578125" style="1" bestFit="1" customWidth="1"/>
    <col min="18" max="18" width="19.28515625" style="76" bestFit="1" customWidth="1"/>
    <col min="19" max="19" width="26.85546875" style="1" bestFit="1" customWidth="1"/>
    <col min="20" max="16384" width="9" style="1"/>
  </cols>
  <sheetData>
    <row r="1" spans="1:19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</row>
    <row r="2" spans="1:19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</row>
    <row r="3" spans="1:19">
      <c r="A3" s="381" t="s">
        <v>188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</row>
    <row r="4" spans="1:19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"/>
      <c r="N4" s="9"/>
      <c r="O4" s="9"/>
      <c r="P4" s="163"/>
      <c r="Q4" s="9"/>
      <c r="S4" s="9"/>
    </row>
    <row r="5" spans="1:19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393"/>
      <c r="M5" s="411" t="s">
        <v>10</v>
      </c>
      <c r="N5" s="412"/>
      <c r="O5" s="412"/>
      <c r="P5" s="413"/>
      <c r="Q5" s="395" t="s">
        <v>11</v>
      </c>
      <c r="R5" s="421" t="s">
        <v>161</v>
      </c>
      <c r="S5" s="376" t="s">
        <v>12</v>
      </c>
    </row>
    <row r="6" spans="1:19" ht="66" thickBot="1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12" t="s">
        <v>16</v>
      </c>
      <c r="M6" s="11" t="s">
        <v>17</v>
      </c>
      <c r="N6" s="11" t="s">
        <v>18</v>
      </c>
      <c r="O6" s="153" t="s">
        <v>160</v>
      </c>
      <c r="P6" s="164" t="s">
        <v>150</v>
      </c>
      <c r="Q6" s="396"/>
      <c r="R6" s="421"/>
      <c r="S6" s="377"/>
    </row>
    <row r="7" spans="1:19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14600</v>
      </c>
      <c r="H7" s="107"/>
      <c r="I7" s="107"/>
      <c r="J7" s="107"/>
      <c r="K7" s="107"/>
      <c r="L7" s="107"/>
      <c r="M7" s="109"/>
      <c r="N7" s="103"/>
      <c r="O7" s="103">
        <f>ROUND(G7*2.5%,0)</f>
        <v>365</v>
      </c>
      <c r="P7" s="98"/>
      <c r="Q7" s="103">
        <f>SUM(G7-O7-P7)</f>
        <v>14235</v>
      </c>
      <c r="R7" s="116">
        <f>ROUND(G7*2.5%,0)</f>
        <v>365</v>
      </c>
      <c r="S7" s="152"/>
    </row>
    <row r="8" spans="1:19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13500</v>
      </c>
      <c r="H8" s="107"/>
      <c r="I8" s="107"/>
      <c r="J8" s="107"/>
      <c r="K8" s="107"/>
      <c r="L8" s="107"/>
      <c r="M8" s="109"/>
      <c r="N8" s="103"/>
      <c r="O8" s="103">
        <f t="shared" ref="O8:O50" si="0">ROUND(G8*2.5%,0)</f>
        <v>338</v>
      </c>
      <c r="P8" s="98"/>
      <c r="Q8" s="103">
        <f t="shared" ref="Q8:Q51" si="1">SUM(G8-O8-P8)</f>
        <v>13162</v>
      </c>
      <c r="R8" s="116">
        <f t="shared" ref="R8:R50" si="2">ROUND(G8*2.5%,0)</f>
        <v>338</v>
      </c>
      <c r="S8" s="100"/>
    </row>
    <row r="9" spans="1:19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13400</v>
      </c>
      <c r="H9" s="107"/>
      <c r="I9" s="107"/>
      <c r="J9" s="107"/>
      <c r="K9" s="107"/>
      <c r="L9" s="107"/>
      <c r="M9" s="109"/>
      <c r="N9" s="103"/>
      <c r="O9" s="103">
        <f t="shared" si="0"/>
        <v>335</v>
      </c>
      <c r="P9" s="98"/>
      <c r="Q9" s="103">
        <f t="shared" si="1"/>
        <v>13065</v>
      </c>
      <c r="R9" s="116">
        <f t="shared" si="2"/>
        <v>335</v>
      </c>
      <c r="S9" s="100"/>
    </row>
    <row r="10" spans="1:19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16500</v>
      </c>
      <c r="H10" s="107"/>
      <c r="I10" s="107"/>
      <c r="J10" s="107"/>
      <c r="K10" s="107"/>
      <c r="L10" s="107"/>
      <c r="M10" s="109"/>
      <c r="N10" s="103"/>
      <c r="O10" s="103">
        <v>375</v>
      </c>
      <c r="P10" s="98">
        <v>651</v>
      </c>
      <c r="Q10" s="103">
        <f t="shared" si="1"/>
        <v>15474</v>
      </c>
      <c r="R10" s="116">
        <v>375</v>
      </c>
      <c r="S10" s="100"/>
    </row>
    <row r="11" spans="1:19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17300</v>
      </c>
      <c r="H11" s="107"/>
      <c r="I11" s="107"/>
      <c r="J11" s="107"/>
      <c r="K11" s="107"/>
      <c r="L11" s="107"/>
      <c r="M11" s="109"/>
      <c r="N11" s="103"/>
      <c r="O11" s="103">
        <v>375</v>
      </c>
      <c r="P11" s="98"/>
      <c r="Q11" s="103">
        <f t="shared" si="1"/>
        <v>16925</v>
      </c>
      <c r="R11" s="116">
        <v>375</v>
      </c>
      <c r="S11" s="100"/>
    </row>
    <row r="12" spans="1:19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19000</v>
      </c>
      <c r="H12" s="107"/>
      <c r="I12" s="107"/>
      <c r="J12" s="107"/>
      <c r="K12" s="107"/>
      <c r="L12" s="107"/>
      <c r="M12" s="109"/>
      <c r="N12" s="103"/>
      <c r="O12" s="103">
        <v>375</v>
      </c>
      <c r="P12" s="98"/>
      <c r="Q12" s="103">
        <f t="shared" si="1"/>
        <v>18625</v>
      </c>
      <c r="R12" s="116">
        <v>375</v>
      </c>
      <c r="S12" s="100"/>
    </row>
    <row r="13" spans="1:19" s="110" customFormat="1">
      <c r="A13" s="117">
        <v>7</v>
      </c>
      <c r="B13" s="106" t="s">
        <v>38</v>
      </c>
      <c r="C13" s="107" t="s">
        <v>39</v>
      </c>
      <c r="D13" s="97">
        <v>1361200122408</v>
      </c>
      <c r="E13" s="107" t="s">
        <v>32</v>
      </c>
      <c r="F13" s="193" t="s">
        <v>169</v>
      </c>
      <c r="G13" s="103">
        <v>25000</v>
      </c>
      <c r="H13" s="107"/>
      <c r="I13" s="107"/>
      <c r="J13" s="107"/>
      <c r="K13" s="107"/>
      <c r="L13" s="107"/>
      <c r="M13" s="109"/>
      <c r="N13" s="103"/>
      <c r="O13" s="103">
        <v>375</v>
      </c>
      <c r="P13" s="98">
        <v>1476</v>
      </c>
      <c r="Q13" s="103">
        <f t="shared" si="1"/>
        <v>23149</v>
      </c>
      <c r="R13" s="116">
        <v>375</v>
      </c>
      <c r="S13" s="100"/>
    </row>
    <row r="14" spans="1:19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93" t="s">
        <v>169</v>
      </c>
      <c r="G14" s="103">
        <v>20500</v>
      </c>
      <c r="H14" s="107"/>
      <c r="I14" s="107"/>
      <c r="J14" s="107"/>
      <c r="K14" s="107"/>
      <c r="L14" s="107"/>
      <c r="M14" s="109"/>
      <c r="N14" s="103"/>
      <c r="O14" s="103">
        <v>375</v>
      </c>
      <c r="P14" s="98">
        <v>705</v>
      </c>
      <c r="Q14" s="103">
        <f t="shared" si="1"/>
        <v>19420</v>
      </c>
      <c r="R14" s="116">
        <v>375</v>
      </c>
      <c r="S14" s="100"/>
    </row>
    <row r="15" spans="1:19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98" t="s">
        <v>168</v>
      </c>
      <c r="G15" s="103">
        <v>25000</v>
      </c>
      <c r="H15" s="107"/>
      <c r="I15" s="107"/>
      <c r="J15" s="107"/>
      <c r="K15" s="107"/>
      <c r="L15" s="107"/>
      <c r="M15" s="109"/>
      <c r="N15" s="103"/>
      <c r="O15" s="103">
        <v>375</v>
      </c>
      <c r="P15" s="98"/>
      <c r="Q15" s="103">
        <f t="shared" si="1"/>
        <v>24625</v>
      </c>
      <c r="R15" s="116">
        <v>375</v>
      </c>
      <c r="S15" s="100"/>
    </row>
    <row r="16" spans="1:19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98" t="s">
        <v>168</v>
      </c>
      <c r="G16" s="103">
        <v>19700</v>
      </c>
      <c r="H16" s="107"/>
      <c r="I16" s="107"/>
      <c r="J16" s="107"/>
      <c r="K16" s="107"/>
      <c r="L16" s="107"/>
      <c r="M16" s="109"/>
      <c r="N16" s="103"/>
      <c r="O16" s="103">
        <v>375</v>
      </c>
      <c r="P16" s="98"/>
      <c r="Q16" s="103">
        <f t="shared" si="1"/>
        <v>19325</v>
      </c>
      <c r="R16" s="116">
        <v>375</v>
      </c>
      <c r="S16" s="100"/>
    </row>
    <row r="17" spans="1:19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98" t="s">
        <v>168</v>
      </c>
      <c r="G17" s="103">
        <v>17600</v>
      </c>
      <c r="H17" s="107"/>
      <c r="I17" s="107"/>
      <c r="J17" s="107"/>
      <c r="K17" s="107"/>
      <c r="L17" s="107"/>
      <c r="M17" s="109"/>
      <c r="N17" s="103"/>
      <c r="O17" s="103">
        <v>375</v>
      </c>
      <c r="P17" s="98"/>
      <c r="Q17" s="103">
        <f t="shared" si="1"/>
        <v>17225</v>
      </c>
      <c r="R17" s="116">
        <v>375</v>
      </c>
      <c r="S17" s="100"/>
    </row>
    <row r="18" spans="1:19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98" t="s">
        <v>168</v>
      </c>
      <c r="G18" s="103">
        <v>25000</v>
      </c>
      <c r="H18" s="107"/>
      <c r="I18" s="107"/>
      <c r="J18" s="107"/>
      <c r="K18" s="107"/>
      <c r="L18" s="107"/>
      <c r="M18" s="109"/>
      <c r="N18" s="103"/>
      <c r="O18" s="103">
        <v>375</v>
      </c>
      <c r="P18" s="98"/>
      <c r="Q18" s="103">
        <f t="shared" si="1"/>
        <v>24625</v>
      </c>
      <c r="R18" s="116">
        <v>375</v>
      </c>
      <c r="S18" s="100"/>
    </row>
    <row r="19" spans="1:19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98" t="s">
        <v>168</v>
      </c>
      <c r="G19" s="103">
        <v>22700</v>
      </c>
      <c r="H19" s="107"/>
      <c r="I19" s="107"/>
      <c r="J19" s="107"/>
      <c r="K19" s="107"/>
      <c r="L19" s="107"/>
      <c r="M19" s="109"/>
      <c r="N19" s="103"/>
      <c r="O19" s="103">
        <v>375</v>
      </c>
      <c r="P19" s="98"/>
      <c r="Q19" s="103">
        <f t="shared" si="1"/>
        <v>22325</v>
      </c>
      <c r="R19" s="116">
        <v>375</v>
      </c>
      <c r="S19" s="100"/>
    </row>
    <row r="20" spans="1:19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93" t="s">
        <v>169</v>
      </c>
      <c r="G20" s="103">
        <v>23500</v>
      </c>
      <c r="H20" s="107"/>
      <c r="I20" s="107"/>
      <c r="J20" s="107"/>
      <c r="K20" s="107"/>
      <c r="L20" s="107"/>
      <c r="M20" s="109"/>
      <c r="N20" s="103"/>
      <c r="O20" s="103">
        <v>375</v>
      </c>
      <c r="P20" s="98"/>
      <c r="Q20" s="103">
        <f t="shared" si="1"/>
        <v>23125</v>
      </c>
      <c r="R20" s="116">
        <v>375</v>
      </c>
      <c r="S20" s="100"/>
    </row>
    <row r="21" spans="1:19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93" t="s">
        <v>169</v>
      </c>
      <c r="G21" s="103">
        <v>25000</v>
      </c>
      <c r="H21" s="107"/>
      <c r="I21" s="107"/>
      <c r="J21" s="107"/>
      <c r="K21" s="107"/>
      <c r="L21" s="107"/>
      <c r="M21" s="109"/>
      <c r="N21" s="103"/>
      <c r="O21" s="103">
        <v>375</v>
      </c>
      <c r="P21" s="98"/>
      <c r="Q21" s="103">
        <f t="shared" si="1"/>
        <v>24625</v>
      </c>
      <c r="R21" s="116">
        <v>375</v>
      </c>
      <c r="S21" s="100"/>
    </row>
    <row r="22" spans="1:19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9"/>
      <c r="N22" s="103"/>
      <c r="O22" s="103">
        <v>375</v>
      </c>
      <c r="P22" s="98"/>
      <c r="Q22" s="103">
        <f t="shared" si="1"/>
        <v>24625</v>
      </c>
      <c r="R22" s="116">
        <v>375</v>
      </c>
      <c r="S22" s="100"/>
    </row>
    <row r="23" spans="1:19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9"/>
      <c r="N23" s="103"/>
      <c r="O23" s="103">
        <v>375</v>
      </c>
      <c r="P23" s="98"/>
      <c r="Q23" s="103">
        <f t="shared" si="1"/>
        <v>24625</v>
      </c>
      <c r="R23" s="116">
        <v>375</v>
      </c>
      <c r="S23" s="100"/>
    </row>
    <row r="24" spans="1:19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9"/>
      <c r="N24" s="103"/>
      <c r="O24" s="103">
        <v>375</v>
      </c>
      <c r="P24" s="98"/>
      <c r="Q24" s="103">
        <f t="shared" si="1"/>
        <v>24625</v>
      </c>
      <c r="R24" s="116">
        <v>375</v>
      </c>
      <c r="S24" s="100"/>
    </row>
    <row r="25" spans="1:19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9"/>
      <c r="N25" s="103"/>
      <c r="O25" s="103">
        <v>375</v>
      </c>
      <c r="P25" s="98"/>
      <c r="Q25" s="103">
        <f t="shared" si="1"/>
        <v>24625</v>
      </c>
      <c r="R25" s="116">
        <v>375</v>
      </c>
      <c r="S25" s="100"/>
    </row>
    <row r="26" spans="1:19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98" t="s">
        <v>168</v>
      </c>
      <c r="G26" s="103">
        <v>25000</v>
      </c>
      <c r="H26" s="107"/>
      <c r="I26" s="107"/>
      <c r="J26" s="107"/>
      <c r="K26" s="107"/>
      <c r="L26" s="107"/>
      <c r="M26" s="109"/>
      <c r="N26" s="103"/>
      <c r="O26" s="103">
        <v>375</v>
      </c>
      <c r="P26" s="98"/>
      <c r="Q26" s="103">
        <f t="shared" si="1"/>
        <v>24625</v>
      </c>
      <c r="R26" s="116">
        <v>375</v>
      </c>
      <c r="S26" s="100"/>
    </row>
    <row r="27" spans="1:19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98" t="s">
        <v>168</v>
      </c>
      <c r="G27" s="124">
        <f>+I27*J27</f>
        <v>4000</v>
      </c>
      <c r="H27" s="123"/>
      <c r="I27" s="123">
        <v>400</v>
      </c>
      <c r="J27" s="123">
        <v>10</v>
      </c>
      <c r="K27" s="123"/>
      <c r="L27" s="123"/>
      <c r="M27" s="126"/>
      <c r="N27" s="124"/>
      <c r="O27" s="124">
        <f t="shared" si="0"/>
        <v>100</v>
      </c>
      <c r="P27" s="135"/>
      <c r="Q27" s="124">
        <f t="shared" si="1"/>
        <v>3900</v>
      </c>
      <c r="R27" s="128">
        <f t="shared" si="2"/>
        <v>100</v>
      </c>
      <c r="S27" s="124"/>
    </row>
    <row r="28" spans="1:19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98" t="s">
        <v>168</v>
      </c>
      <c r="G28" s="124">
        <f>+I28*J28</f>
        <v>7560</v>
      </c>
      <c r="H28" s="123"/>
      <c r="I28" s="123">
        <v>360</v>
      </c>
      <c r="J28" s="123">
        <v>21</v>
      </c>
      <c r="K28" s="123"/>
      <c r="L28" s="123"/>
      <c r="M28" s="126"/>
      <c r="N28" s="124"/>
      <c r="O28" s="124">
        <f t="shared" si="0"/>
        <v>189</v>
      </c>
      <c r="P28" s="135"/>
      <c r="Q28" s="124">
        <f t="shared" si="1"/>
        <v>7371</v>
      </c>
      <c r="R28" s="128">
        <f t="shared" si="2"/>
        <v>189</v>
      </c>
      <c r="S28" s="124"/>
    </row>
    <row r="29" spans="1:19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98" t="s">
        <v>168</v>
      </c>
      <c r="G29" s="103">
        <v>25000</v>
      </c>
      <c r="H29" s="107"/>
      <c r="I29" s="107"/>
      <c r="J29" s="107"/>
      <c r="K29" s="107"/>
      <c r="L29" s="107"/>
      <c r="M29" s="109"/>
      <c r="N29" s="103"/>
      <c r="O29" s="103">
        <v>375</v>
      </c>
      <c r="P29" s="98"/>
      <c r="Q29" s="103">
        <f t="shared" si="1"/>
        <v>24625</v>
      </c>
      <c r="R29" s="98">
        <v>375</v>
      </c>
      <c r="S29" s="100"/>
    </row>
    <row r="30" spans="1:19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93" t="s">
        <v>169</v>
      </c>
      <c r="G30" s="103">
        <v>15500</v>
      </c>
      <c r="H30" s="113" t="s">
        <v>80</v>
      </c>
      <c r="I30" s="107"/>
      <c r="J30" s="107"/>
      <c r="K30" s="107"/>
      <c r="L30" s="107"/>
      <c r="M30" s="109"/>
      <c r="N30" s="103"/>
      <c r="O30" s="103">
        <v>375</v>
      </c>
      <c r="P30" s="98"/>
      <c r="Q30" s="103">
        <f t="shared" si="1"/>
        <v>15125</v>
      </c>
      <c r="R30" s="116">
        <v>375</v>
      </c>
      <c r="S30" s="100"/>
    </row>
    <row r="31" spans="1:19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261" t="s">
        <v>169</v>
      </c>
      <c r="G31" s="98">
        <v>15500</v>
      </c>
      <c r="H31" s="113" t="s">
        <v>83</v>
      </c>
      <c r="I31" s="95"/>
      <c r="J31" s="95"/>
      <c r="K31" s="95"/>
      <c r="L31" s="95"/>
      <c r="M31" s="109"/>
      <c r="N31" s="103"/>
      <c r="O31" s="103">
        <v>375</v>
      </c>
      <c r="P31" s="98"/>
      <c r="Q31" s="103">
        <f t="shared" si="1"/>
        <v>15125</v>
      </c>
      <c r="R31" s="116">
        <v>375</v>
      </c>
      <c r="S31" s="100"/>
    </row>
    <row r="32" spans="1:19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98" t="s">
        <v>168</v>
      </c>
      <c r="G32" s="103">
        <v>25000</v>
      </c>
      <c r="H32" s="108" t="s">
        <v>88</v>
      </c>
      <c r="I32" s="107"/>
      <c r="J32" s="107"/>
      <c r="K32" s="107"/>
      <c r="L32" s="107"/>
      <c r="M32" s="109"/>
      <c r="N32" s="103"/>
      <c r="O32" s="103">
        <v>375</v>
      </c>
      <c r="P32" s="98"/>
      <c r="Q32" s="103">
        <f t="shared" si="1"/>
        <v>24625</v>
      </c>
      <c r="R32" s="116">
        <v>375</v>
      </c>
      <c r="S32" s="102"/>
    </row>
    <row r="33" spans="1:19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98" t="s">
        <v>168</v>
      </c>
      <c r="G33" s="124">
        <f>+I33*J33</f>
        <v>8360</v>
      </c>
      <c r="H33" s="125" t="s">
        <v>88</v>
      </c>
      <c r="I33" s="123">
        <v>380</v>
      </c>
      <c r="J33" s="123">
        <v>22</v>
      </c>
      <c r="K33" s="123"/>
      <c r="L33" s="123"/>
      <c r="M33" s="126"/>
      <c r="N33" s="124"/>
      <c r="O33" s="124">
        <f>ROUND(G33*2.5%,0)</f>
        <v>209</v>
      </c>
      <c r="P33" s="135"/>
      <c r="Q33" s="124">
        <f t="shared" si="1"/>
        <v>8151</v>
      </c>
      <c r="R33" s="128">
        <f t="shared" si="2"/>
        <v>209</v>
      </c>
      <c r="S33" s="127"/>
    </row>
    <row r="34" spans="1:19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93" t="s">
        <v>169</v>
      </c>
      <c r="G34" s="103">
        <v>16200</v>
      </c>
      <c r="H34" s="108" t="s">
        <v>93</v>
      </c>
      <c r="I34" s="107"/>
      <c r="J34" s="107"/>
      <c r="K34" s="107"/>
      <c r="L34" s="107"/>
      <c r="M34" s="109"/>
      <c r="N34" s="103"/>
      <c r="O34" s="103">
        <v>375</v>
      </c>
      <c r="P34" s="98"/>
      <c r="Q34" s="103">
        <f t="shared" si="1"/>
        <v>15825</v>
      </c>
      <c r="R34" s="116">
        <v>375</v>
      </c>
      <c r="S34" s="100"/>
    </row>
    <row r="35" spans="1:19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98" t="s">
        <v>168</v>
      </c>
      <c r="G35" s="124">
        <f>I35*J35</f>
        <v>7590</v>
      </c>
      <c r="H35" s="125" t="s">
        <v>96</v>
      </c>
      <c r="I35" s="123">
        <v>330</v>
      </c>
      <c r="J35" s="123">
        <v>23</v>
      </c>
      <c r="K35" s="123"/>
      <c r="L35" s="123"/>
      <c r="M35" s="126"/>
      <c r="N35" s="124"/>
      <c r="O35" s="124">
        <f t="shared" si="0"/>
        <v>190</v>
      </c>
      <c r="P35" s="135"/>
      <c r="Q35" s="124">
        <f t="shared" si="1"/>
        <v>7400</v>
      </c>
      <c r="R35" s="128">
        <f t="shared" si="2"/>
        <v>190</v>
      </c>
      <c r="S35" s="127"/>
    </row>
    <row r="36" spans="1:19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98" t="s">
        <v>168</v>
      </c>
      <c r="G36" s="124">
        <f t="shared" ref="G36:G42" si="3">I36*J36</f>
        <v>7260</v>
      </c>
      <c r="H36" s="125" t="s">
        <v>96</v>
      </c>
      <c r="I36" s="123">
        <v>330</v>
      </c>
      <c r="J36" s="123">
        <v>22</v>
      </c>
      <c r="K36" s="123"/>
      <c r="L36" s="123"/>
      <c r="M36" s="126"/>
      <c r="N36" s="124"/>
      <c r="O36" s="124">
        <f t="shared" si="0"/>
        <v>182</v>
      </c>
      <c r="P36" s="135"/>
      <c r="Q36" s="124">
        <f t="shared" si="1"/>
        <v>7078</v>
      </c>
      <c r="R36" s="128">
        <f t="shared" si="2"/>
        <v>182</v>
      </c>
      <c r="S36" s="127"/>
    </row>
    <row r="37" spans="1:19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98" t="s">
        <v>168</v>
      </c>
      <c r="G37" s="124">
        <f t="shared" si="3"/>
        <v>6930</v>
      </c>
      <c r="H37" s="125" t="s">
        <v>96</v>
      </c>
      <c r="I37" s="123">
        <v>330</v>
      </c>
      <c r="J37" s="123">
        <v>21</v>
      </c>
      <c r="K37" s="123"/>
      <c r="L37" s="123"/>
      <c r="M37" s="126"/>
      <c r="N37" s="124"/>
      <c r="O37" s="124">
        <f t="shared" si="0"/>
        <v>173</v>
      </c>
      <c r="P37" s="135"/>
      <c r="Q37" s="124">
        <f t="shared" si="1"/>
        <v>6757</v>
      </c>
      <c r="R37" s="128">
        <f t="shared" si="2"/>
        <v>173</v>
      </c>
      <c r="S37" s="124"/>
    </row>
    <row r="38" spans="1:19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98" t="s">
        <v>168</v>
      </c>
      <c r="G38" s="124">
        <f t="shared" si="3"/>
        <v>7590</v>
      </c>
      <c r="H38" s="125" t="s">
        <v>96</v>
      </c>
      <c r="I38" s="123">
        <v>330</v>
      </c>
      <c r="J38" s="123">
        <v>23</v>
      </c>
      <c r="K38" s="123"/>
      <c r="L38" s="123"/>
      <c r="M38" s="126"/>
      <c r="N38" s="124"/>
      <c r="O38" s="124">
        <f t="shared" si="0"/>
        <v>190</v>
      </c>
      <c r="P38" s="135"/>
      <c r="Q38" s="124">
        <f t="shared" si="1"/>
        <v>7400</v>
      </c>
      <c r="R38" s="128">
        <f t="shared" si="2"/>
        <v>190</v>
      </c>
      <c r="S38" s="124"/>
    </row>
    <row r="39" spans="1:19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98" t="s">
        <v>168</v>
      </c>
      <c r="G39" s="124">
        <f t="shared" si="3"/>
        <v>9200</v>
      </c>
      <c r="H39" s="133" t="s">
        <v>107</v>
      </c>
      <c r="I39" s="132">
        <v>400</v>
      </c>
      <c r="J39" s="132">
        <v>23</v>
      </c>
      <c r="K39" s="132"/>
      <c r="L39" s="132"/>
      <c r="M39" s="134"/>
      <c r="N39" s="135"/>
      <c r="O39" s="124">
        <f t="shared" si="0"/>
        <v>230</v>
      </c>
      <c r="P39" s="135"/>
      <c r="Q39" s="124">
        <f t="shared" si="1"/>
        <v>8970</v>
      </c>
      <c r="R39" s="128">
        <f t="shared" si="2"/>
        <v>230</v>
      </c>
      <c r="S39" s="124"/>
    </row>
    <row r="40" spans="1:19" s="136" customFormat="1">
      <c r="A40" s="121">
        <v>34</v>
      </c>
      <c r="B40" s="131" t="s">
        <v>110</v>
      </c>
      <c r="C40" s="137">
        <v>6016300837717</v>
      </c>
      <c r="D40" s="137">
        <v>991019747856</v>
      </c>
      <c r="E40" s="132" t="s">
        <v>95</v>
      </c>
      <c r="F40" s="198" t="s">
        <v>168</v>
      </c>
      <c r="G40" s="124">
        <f t="shared" si="3"/>
        <v>7920</v>
      </c>
      <c r="H40" s="133" t="s">
        <v>111</v>
      </c>
      <c r="I40" s="132">
        <v>330</v>
      </c>
      <c r="J40" s="132">
        <v>24</v>
      </c>
      <c r="K40" s="132"/>
      <c r="L40" s="132"/>
      <c r="M40" s="134"/>
      <c r="N40" s="135"/>
      <c r="O40" s="124">
        <f t="shared" si="0"/>
        <v>198</v>
      </c>
      <c r="P40" s="135"/>
      <c r="Q40" s="124">
        <f t="shared" si="1"/>
        <v>7722</v>
      </c>
      <c r="R40" s="128">
        <f t="shared" si="2"/>
        <v>198</v>
      </c>
      <c r="S40" s="124"/>
    </row>
    <row r="41" spans="1:19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98" t="s">
        <v>168</v>
      </c>
      <c r="G41" s="124">
        <f t="shared" si="3"/>
        <v>7590</v>
      </c>
      <c r="H41" s="133" t="s">
        <v>111</v>
      </c>
      <c r="I41" s="132">
        <v>330</v>
      </c>
      <c r="J41" s="132">
        <v>23</v>
      </c>
      <c r="K41" s="132"/>
      <c r="L41" s="132"/>
      <c r="M41" s="134"/>
      <c r="N41" s="135"/>
      <c r="O41" s="124">
        <f t="shared" si="0"/>
        <v>190</v>
      </c>
      <c r="P41" s="135"/>
      <c r="Q41" s="124">
        <f t="shared" si="1"/>
        <v>7400</v>
      </c>
      <c r="R41" s="128">
        <f t="shared" si="2"/>
        <v>190</v>
      </c>
      <c r="S41" s="124"/>
    </row>
    <row r="42" spans="1:19" s="136" customFormat="1">
      <c r="A42" s="121">
        <v>36</v>
      </c>
      <c r="B42" s="131" t="s">
        <v>113</v>
      </c>
      <c r="C42" s="137">
        <v>6016300837750</v>
      </c>
      <c r="D42" s="137">
        <v>991019747686</v>
      </c>
      <c r="E42" s="132" t="s">
        <v>95</v>
      </c>
      <c r="F42" s="198" t="s">
        <v>168</v>
      </c>
      <c r="G42" s="124">
        <f t="shared" si="3"/>
        <v>7920</v>
      </c>
      <c r="H42" s="133" t="s">
        <v>111</v>
      </c>
      <c r="I42" s="132">
        <v>330</v>
      </c>
      <c r="J42" s="132">
        <v>24</v>
      </c>
      <c r="K42" s="132"/>
      <c r="L42" s="132"/>
      <c r="M42" s="134"/>
      <c r="N42" s="135"/>
      <c r="O42" s="124">
        <f t="shared" si="0"/>
        <v>198</v>
      </c>
      <c r="P42" s="135"/>
      <c r="Q42" s="124">
        <f t="shared" si="1"/>
        <v>7722</v>
      </c>
      <c r="R42" s="128">
        <f t="shared" si="2"/>
        <v>198</v>
      </c>
      <c r="S42" s="132"/>
    </row>
    <row r="43" spans="1:19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98" t="s">
        <v>168</v>
      </c>
      <c r="G43" s="103">
        <v>25000</v>
      </c>
      <c r="H43" s="112" t="s">
        <v>101</v>
      </c>
      <c r="I43" s="107"/>
      <c r="J43" s="107"/>
      <c r="K43" s="107"/>
      <c r="L43" s="107"/>
      <c r="M43" s="109"/>
      <c r="N43" s="103"/>
      <c r="O43" s="103">
        <v>375</v>
      </c>
      <c r="P43" s="98"/>
      <c r="Q43" s="103">
        <f t="shared" si="1"/>
        <v>24625</v>
      </c>
      <c r="R43" s="116">
        <v>375</v>
      </c>
      <c r="S43" s="100"/>
    </row>
    <row r="44" spans="1:19" s="129" customFormat="1">
      <c r="A44" s="121">
        <v>38</v>
      </c>
      <c r="B44" s="122" t="s">
        <v>102</v>
      </c>
      <c r="C44" s="130">
        <v>220062001228</v>
      </c>
      <c r="D44" s="137">
        <v>991017408884</v>
      </c>
      <c r="E44" s="123" t="s">
        <v>95</v>
      </c>
      <c r="F44" s="198" t="s">
        <v>168</v>
      </c>
      <c r="G44" s="124">
        <f>+I44*J44</f>
        <v>7920</v>
      </c>
      <c r="H44" s="138" t="s">
        <v>106</v>
      </c>
      <c r="I44" s="123">
        <v>330</v>
      </c>
      <c r="J44" s="123">
        <v>24</v>
      </c>
      <c r="K44" s="123"/>
      <c r="L44" s="123"/>
      <c r="M44" s="126"/>
      <c r="N44" s="124"/>
      <c r="O44" s="124">
        <f t="shared" si="0"/>
        <v>198</v>
      </c>
      <c r="P44" s="135"/>
      <c r="Q44" s="124">
        <f t="shared" si="1"/>
        <v>7722</v>
      </c>
      <c r="R44" s="128">
        <f t="shared" si="2"/>
        <v>198</v>
      </c>
      <c r="S44" s="139"/>
    </row>
    <row r="45" spans="1:19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261" t="s">
        <v>169</v>
      </c>
      <c r="G45" s="98">
        <v>12000</v>
      </c>
      <c r="H45" s="99" t="s">
        <v>115</v>
      </c>
      <c r="I45" s="100"/>
      <c r="J45" s="100"/>
      <c r="K45" s="100"/>
      <c r="L45" s="100"/>
      <c r="M45" s="101"/>
      <c r="N45" s="102"/>
      <c r="O45" s="103">
        <f t="shared" si="0"/>
        <v>300</v>
      </c>
      <c r="P45" s="98"/>
      <c r="Q45" s="103">
        <f t="shared" si="1"/>
        <v>11700</v>
      </c>
      <c r="R45" s="116">
        <f t="shared" si="2"/>
        <v>300</v>
      </c>
      <c r="S45" s="100"/>
    </row>
    <row r="46" spans="1:19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248" t="s">
        <v>168</v>
      </c>
      <c r="G46" s="98">
        <v>15000</v>
      </c>
      <c r="H46" s="99" t="s">
        <v>119</v>
      </c>
      <c r="I46" s="95"/>
      <c r="J46" s="95"/>
      <c r="K46" s="95"/>
      <c r="L46" s="95"/>
      <c r="M46" s="115"/>
      <c r="N46" s="98"/>
      <c r="O46" s="103">
        <f t="shared" si="0"/>
        <v>375</v>
      </c>
      <c r="P46" s="98"/>
      <c r="Q46" s="103">
        <f t="shared" si="1"/>
        <v>14625</v>
      </c>
      <c r="R46" s="116">
        <f t="shared" si="2"/>
        <v>375</v>
      </c>
      <c r="S46" s="95"/>
    </row>
    <row r="47" spans="1:19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248" t="s">
        <v>168</v>
      </c>
      <c r="G47" s="98">
        <v>15000</v>
      </c>
      <c r="H47" s="99" t="s">
        <v>119</v>
      </c>
      <c r="I47" s="95"/>
      <c r="J47" s="95"/>
      <c r="K47" s="95"/>
      <c r="L47" s="95"/>
      <c r="M47" s="115"/>
      <c r="N47" s="98"/>
      <c r="O47" s="103">
        <f t="shared" si="0"/>
        <v>375</v>
      </c>
      <c r="P47" s="98"/>
      <c r="Q47" s="103">
        <f t="shared" si="1"/>
        <v>14625</v>
      </c>
      <c r="R47" s="116">
        <f t="shared" si="2"/>
        <v>375</v>
      </c>
      <c r="S47" s="95"/>
    </row>
    <row r="48" spans="1:19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248" t="s">
        <v>168</v>
      </c>
      <c r="G48" s="98">
        <v>15000</v>
      </c>
      <c r="H48" s="99" t="s">
        <v>119</v>
      </c>
      <c r="I48" s="95"/>
      <c r="J48" s="95"/>
      <c r="K48" s="95"/>
      <c r="L48" s="95"/>
      <c r="M48" s="115"/>
      <c r="N48" s="98"/>
      <c r="O48" s="103">
        <f t="shared" si="0"/>
        <v>375</v>
      </c>
      <c r="P48" s="98"/>
      <c r="Q48" s="103">
        <f t="shared" si="1"/>
        <v>14625</v>
      </c>
      <c r="R48" s="116">
        <f t="shared" si="2"/>
        <v>375</v>
      </c>
      <c r="S48" s="95"/>
    </row>
    <row r="49" spans="1:19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261" t="s">
        <v>169</v>
      </c>
      <c r="G49" s="98">
        <v>15000</v>
      </c>
      <c r="H49" s="99" t="s">
        <v>119</v>
      </c>
      <c r="I49" s="95"/>
      <c r="J49" s="95"/>
      <c r="K49" s="95"/>
      <c r="L49" s="95"/>
      <c r="M49" s="115"/>
      <c r="N49" s="98"/>
      <c r="O49" s="103">
        <f t="shared" si="0"/>
        <v>375</v>
      </c>
      <c r="P49" s="98"/>
      <c r="Q49" s="103">
        <f t="shared" si="1"/>
        <v>14625</v>
      </c>
      <c r="R49" s="116">
        <f t="shared" si="2"/>
        <v>375</v>
      </c>
      <c r="S49" s="95"/>
    </row>
    <row r="50" spans="1:19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 t="s">
        <v>168</v>
      </c>
      <c r="G50" s="128">
        <f>I50*J50</f>
        <v>7350</v>
      </c>
      <c r="H50" s="144" t="s">
        <v>139</v>
      </c>
      <c r="I50" s="143">
        <v>350</v>
      </c>
      <c r="J50" s="143">
        <v>21</v>
      </c>
      <c r="K50" s="143"/>
      <c r="L50" s="143"/>
      <c r="M50" s="145"/>
      <c r="N50" s="128"/>
      <c r="O50" s="124">
        <f t="shared" si="0"/>
        <v>184</v>
      </c>
      <c r="P50" s="128"/>
      <c r="Q50" s="124">
        <f t="shared" si="1"/>
        <v>7166</v>
      </c>
      <c r="R50" s="128">
        <f t="shared" si="2"/>
        <v>184</v>
      </c>
      <c r="S50" s="146"/>
    </row>
    <row r="51" spans="1:19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256" t="s">
        <v>169</v>
      </c>
      <c r="G51" s="116">
        <v>23000</v>
      </c>
      <c r="H51" s="99" t="s">
        <v>164</v>
      </c>
      <c r="I51" s="95"/>
      <c r="J51" s="95"/>
      <c r="K51" s="183"/>
      <c r="L51" s="183"/>
      <c r="M51" s="184"/>
      <c r="N51" s="185"/>
      <c r="O51" s="103">
        <v>375</v>
      </c>
      <c r="P51" s="116"/>
      <c r="Q51" s="103">
        <f t="shared" si="1"/>
        <v>22625</v>
      </c>
      <c r="R51" s="116">
        <v>375</v>
      </c>
      <c r="S51" s="186"/>
    </row>
    <row r="52" spans="1:19" s="86" customFormat="1" ht="22.5" thickBot="1">
      <c r="A52" s="402" t="s">
        <v>103</v>
      </c>
      <c r="B52" s="402"/>
      <c r="C52" s="402"/>
      <c r="D52" s="402"/>
      <c r="E52" s="402"/>
      <c r="F52" s="402"/>
      <c r="G52" s="89">
        <f>SUM(G7:G51)</f>
        <v>737690</v>
      </c>
      <c r="H52" s="87"/>
      <c r="I52" s="87"/>
      <c r="J52" s="87"/>
      <c r="K52" s="87"/>
      <c r="L52" s="87"/>
      <c r="M52" s="87"/>
      <c r="N52" s="87"/>
      <c r="O52" s="89">
        <f>SUM(O7:O51)</f>
        <v>14269</v>
      </c>
      <c r="P52" s="89">
        <f t="shared" ref="P52:R52" si="4">SUM(P7:P51)</f>
        <v>2832</v>
      </c>
      <c r="Q52" s="89">
        <f t="shared" si="4"/>
        <v>720589</v>
      </c>
      <c r="R52" s="89">
        <f t="shared" si="4"/>
        <v>14269</v>
      </c>
      <c r="S52" s="88"/>
    </row>
    <row r="53" spans="1:19" ht="23.25" thickTop="1" thickBot="1">
      <c r="A53" s="119"/>
      <c r="B53" s="3"/>
      <c r="C53" s="3"/>
      <c r="D53" s="49"/>
      <c r="E53" s="3"/>
      <c r="F53" s="3"/>
      <c r="G53" s="39"/>
      <c r="H53" s="39"/>
      <c r="I53" s="39"/>
      <c r="J53" s="39"/>
      <c r="K53" s="39"/>
      <c r="L53" s="39"/>
      <c r="M53" s="39"/>
      <c r="N53" s="39"/>
      <c r="O53" s="39"/>
      <c r="P53" s="166"/>
      <c r="Q53" s="39"/>
      <c r="S53" s="5"/>
    </row>
    <row r="54" spans="1:19" ht="44.25" thickBot="1">
      <c r="A54" s="119"/>
      <c r="B54" s="50" t="s">
        <v>12</v>
      </c>
      <c r="C54" s="3"/>
      <c r="D54" s="49"/>
      <c r="E54" s="3"/>
      <c r="F54" s="3"/>
      <c r="G54" s="39"/>
      <c r="H54" s="156" t="s">
        <v>145</v>
      </c>
      <c r="I54" s="39"/>
      <c r="J54" s="39"/>
      <c r="K54" s="39"/>
      <c r="L54" s="39"/>
      <c r="M54" s="39"/>
      <c r="N54" s="303" t="s">
        <v>158</v>
      </c>
      <c r="O54" s="153" t="s">
        <v>159</v>
      </c>
      <c r="P54" s="164" t="s">
        <v>150</v>
      </c>
      <c r="Q54" s="153" t="s">
        <v>11</v>
      </c>
      <c r="S54" s="5"/>
    </row>
    <row r="55" spans="1:19">
      <c r="A55" s="119"/>
      <c r="B55" s="52" t="s">
        <v>156</v>
      </c>
      <c r="C55" s="149">
        <v>0</v>
      </c>
      <c r="D55" s="301"/>
      <c r="E55" s="54" t="s">
        <v>142</v>
      </c>
      <c r="F55" s="54"/>
      <c r="G55" s="55" t="s">
        <v>140</v>
      </c>
      <c r="H55" s="170" t="s">
        <v>141</v>
      </c>
      <c r="I55" s="170">
        <v>13</v>
      </c>
      <c r="J55" s="171" t="s">
        <v>142</v>
      </c>
      <c r="K55" s="148"/>
      <c r="L55" s="148"/>
      <c r="N55" s="16">
        <f>+G27+G28+G33+G35+G36+G37+G38+G39+G40+G41+G42+G44+G50</f>
        <v>97190</v>
      </c>
      <c r="O55" s="16">
        <f>+O27+O28+O33+O35+O36+O37+O38+O39+O40+O41+O42+O44+O50</f>
        <v>2431</v>
      </c>
      <c r="P55" s="24">
        <v>0</v>
      </c>
      <c r="Q55" s="175">
        <f>+Q27+Q28+Q33+Q35+Q36+Q37+Q38+Q39+Q40+Q41+Q42+Q44+Q50</f>
        <v>94759</v>
      </c>
      <c r="S55" s="5"/>
    </row>
    <row r="56" spans="1:19">
      <c r="A56" s="119"/>
      <c r="B56" s="56" t="s">
        <v>137</v>
      </c>
      <c r="C56" s="150">
        <v>0</v>
      </c>
      <c r="D56" s="118"/>
      <c r="E56" s="6" t="s">
        <v>142</v>
      </c>
      <c r="F56" s="6"/>
      <c r="G56" s="190" t="s">
        <v>162</v>
      </c>
      <c r="H56" s="173" t="s">
        <v>144</v>
      </c>
      <c r="I56" s="173">
        <v>32</v>
      </c>
      <c r="J56" s="174" t="s">
        <v>142</v>
      </c>
      <c r="K56" s="148"/>
      <c r="L56" s="148"/>
      <c r="N56" s="16">
        <f>+G7+G8+G9+G10+G11+G12+G13+G14+G15+G16+G17+G18+G19+G20+G21+G22+G23+G24+G25+G26+G29+G30+G31+G32+G34+G43+G45+G46+G47+G48+G49+G51</f>
        <v>640500</v>
      </c>
      <c r="O56" s="16">
        <f>+O7+O8+O9+O10+O11+O12+O13+O14+O15+O16+O17+O18+O19+O20+O21+O22+O23+O24+O25+O26+O29+O30+O31+O32+O34+O43+O45+O46+O47+O48+O49+O51</f>
        <v>11838</v>
      </c>
      <c r="P56" s="24">
        <f>+P10+P13+P14</f>
        <v>2832</v>
      </c>
      <c r="Q56" s="16">
        <f>+Q7+Q8+Q9+Q10+Q11+Q12+Q13+Q14+Q15+Q16+Q17+Q18+Q19+Q20+Q21+Q22+Q23+Q24+Q25+Q26+Q29+Q30+Q31+Q32+Q34+Q43+Q45+Q46+Q47+Q48+Q49+Q51</f>
        <v>625830</v>
      </c>
      <c r="S56" s="5"/>
    </row>
    <row r="57" spans="1:19" ht="22.5" thickBot="1">
      <c r="A57" s="119"/>
      <c r="B57" s="419"/>
      <c r="C57" s="420"/>
      <c r="D57" s="300"/>
      <c r="E57" s="187"/>
      <c r="F57" s="187"/>
      <c r="G57" s="188"/>
      <c r="H57" s="189" t="s">
        <v>147</v>
      </c>
      <c r="I57" s="69">
        <f>SUM(I55:I56)</f>
        <v>45</v>
      </c>
      <c r="J57" s="155" t="s">
        <v>142</v>
      </c>
      <c r="K57" s="154"/>
      <c r="L57" s="154"/>
      <c r="N57" s="176">
        <f>SUM(N55:N56)</f>
        <v>737690</v>
      </c>
      <c r="O57" s="176">
        <f>SUM(O55:O56)</f>
        <v>14269</v>
      </c>
      <c r="P57" s="177">
        <f>SUM(P55:P56)</f>
        <v>2832</v>
      </c>
      <c r="Q57" s="176">
        <f>SUM(Q55:Q56)</f>
        <v>720589</v>
      </c>
    </row>
    <row r="59" spans="1:19" ht="43.5">
      <c r="C59" s="11" t="s">
        <v>167</v>
      </c>
      <c r="D59" s="11" t="s">
        <v>158</v>
      </c>
      <c r="E59" s="234" t="s">
        <v>180</v>
      </c>
      <c r="F59" s="234" t="s">
        <v>181</v>
      </c>
      <c r="G59" s="91" t="s">
        <v>150</v>
      </c>
      <c r="H59" s="234" t="s">
        <v>172</v>
      </c>
    </row>
    <row r="60" spans="1:19">
      <c r="C60" s="199" t="s">
        <v>178</v>
      </c>
      <c r="D60" s="197">
        <f>+G7+G12+G15+G16+G17+G18+G19+G22+G23+G24+G25+G26+G27+G28+G29+G32+G33+G35+G36+G37+G38+G39+G40+G41+G42+G43+G44+G46+G47+G48+G50</f>
        <v>485790</v>
      </c>
      <c r="E60" s="197">
        <f>+R7+R12+R15+R16+R17+R18+R19+R22+R23+R24+R25+R26+R27+R28+R29+R32+R33+R35+R36+R37+R38+R39+R40+R41+R42+R43+R44+R46+R47+R50+R48</f>
        <v>9171</v>
      </c>
      <c r="F60" s="197">
        <f>+O7+O12+O15+O16+O17+O18+O19+O22+O23+O24+O26+O27+O28+O29+O32+O25+O33+O35+O36+O37+O38+O39+O40+O41+O42+O43+O44+O46+O47+O48+O50</f>
        <v>9171</v>
      </c>
      <c r="G60" s="197">
        <v>0</v>
      </c>
      <c r="H60" s="197">
        <f>+E60+F60</f>
        <v>18342</v>
      </c>
    </row>
    <row r="61" spans="1:19">
      <c r="C61" s="191" t="s">
        <v>179</v>
      </c>
      <c r="D61" s="204">
        <f>+G8+G9+G10+G11+G13+G14+G20+G21+G30+G31+G34+G45+G49+G51</f>
        <v>251900</v>
      </c>
      <c r="E61" s="204">
        <f>+R8+R9+R10+R11+R13+R14+R20+R21+R30+R31+R34+R45+R49+R51</f>
        <v>5098</v>
      </c>
      <c r="F61" s="204">
        <f>+O8+O9+O10+O11+O13+O14+O20+O21+O30+O31+O34+O45+O49+O51</f>
        <v>5098</v>
      </c>
      <c r="G61" s="204">
        <f>+P10+P13+P14</f>
        <v>2832</v>
      </c>
      <c r="H61" s="204">
        <f>+E61+F61</f>
        <v>10196</v>
      </c>
    </row>
    <row r="62" spans="1:19" ht="24">
      <c r="C62" s="195" t="s">
        <v>147</v>
      </c>
      <c r="D62" s="233">
        <f>SUM(D60:D61)</f>
        <v>737690</v>
      </c>
      <c r="E62" s="233">
        <f>SUM(E60:E61)</f>
        <v>14269</v>
      </c>
      <c r="F62" s="233">
        <f>SUM(F60:F61)</f>
        <v>14269</v>
      </c>
      <c r="G62" s="233">
        <f>SUM(G60:G61)</f>
        <v>2832</v>
      </c>
      <c r="H62" s="233">
        <f>SUM(H60:H61)</f>
        <v>28538</v>
      </c>
    </row>
  </sheetData>
  <mergeCells count="19">
    <mergeCell ref="M5:P5"/>
    <mergeCell ref="Q5:Q6"/>
    <mergeCell ref="R5:R6"/>
    <mergeCell ref="S5:S6"/>
    <mergeCell ref="A1:S1"/>
    <mergeCell ref="A2:S2"/>
    <mergeCell ref="A3:S3"/>
    <mergeCell ref="A5:A6"/>
    <mergeCell ref="B5:B6"/>
    <mergeCell ref="C5:C6"/>
    <mergeCell ref="D5:D6"/>
    <mergeCell ref="E5:E6"/>
    <mergeCell ref="G5:G6"/>
    <mergeCell ref="H5:H6"/>
    <mergeCell ref="B57:C57"/>
    <mergeCell ref="F5:F6"/>
    <mergeCell ref="A52:F52"/>
    <mergeCell ref="I5:J5"/>
    <mergeCell ref="K5:L5"/>
  </mergeCells>
  <printOptions horizontalCentered="1"/>
  <pageMargins left="0.15748031496062992" right="0.19685039370078741" top="0.47244094488188981" bottom="0.11811023622047245" header="0.31496062992125984" footer="0.31496062992125984"/>
  <pageSetup paperSize="9" scale="57" orientation="landscape" horizontalDpi="4294967293" r:id="rId1"/>
  <rowBreaks count="1" manualBreakCount="1">
    <brk id="36" max="1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E0B8-0A40-49DF-A6F9-1B00AD2F8BD6}">
  <dimension ref="A1:U70"/>
  <sheetViews>
    <sheetView view="pageBreakPreview" zoomScale="90" zoomScaleNormal="90" zoomScaleSheetLayoutView="90" workbookViewId="0">
      <pane xSplit="7" ySplit="6" topLeftCell="H51" activePane="bottomRight" state="frozen"/>
      <selection pane="topRight" activeCell="G1" sqref="G1"/>
      <selection pane="bottomLeft" activeCell="A7" sqref="A7"/>
      <selection pane="bottomRight" activeCell="J62" sqref="J62"/>
    </sheetView>
  </sheetViews>
  <sheetFormatPr defaultColWidth="9" defaultRowHeight="21.75"/>
  <cols>
    <col min="1" max="1" width="9" style="120"/>
    <col min="2" max="2" width="20.140625" style="1" customWidth="1"/>
    <col min="3" max="3" width="17" style="1" customWidth="1"/>
    <col min="4" max="4" width="18.28515625" style="2" customWidth="1"/>
    <col min="5" max="5" width="15.85546875" style="1" bestFit="1" customWidth="1"/>
    <col min="6" max="6" width="13" style="1" bestFit="1" customWidth="1"/>
    <col min="7" max="7" width="34.28515625" style="1" bestFit="1" customWidth="1"/>
    <col min="8" max="8" width="14.7109375" style="1" bestFit="1" customWidth="1"/>
    <col min="9" max="9" width="8.140625" style="1" bestFit="1" customWidth="1"/>
    <col min="10" max="10" width="7.5703125" style="1" bestFit="1" customWidth="1"/>
    <col min="11" max="11" width="4.28515625" style="1" hidden="1" customWidth="1"/>
    <col min="12" max="12" width="13.140625" style="1" customWidth="1"/>
    <col min="13" max="13" width="10" style="94" bestFit="1" customWidth="1"/>
    <col min="14" max="14" width="9.140625" style="1" hidden="1" customWidth="1"/>
    <col min="15" max="15" width="9" style="1" hidden="1" customWidth="1"/>
    <col min="16" max="16" width="12.7109375" style="1" bestFit="1" customWidth="1"/>
    <col min="17" max="17" width="10" style="168" bestFit="1" customWidth="1"/>
    <col min="18" max="18" width="10.42578125" style="1" bestFit="1" customWidth="1"/>
    <col min="19" max="19" width="13.85546875" style="76" bestFit="1" customWidth="1"/>
    <col min="20" max="20" width="15.42578125" style="1" customWidth="1"/>
    <col min="21" max="16384" width="9" style="1"/>
  </cols>
  <sheetData>
    <row r="1" spans="1:20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>
      <c r="A3" s="381" t="s">
        <v>189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T4" s="9"/>
    </row>
    <row r="5" spans="1:20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161</v>
      </c>
      <c r="T5" s="376" t="s">
        <v>12</v>
      </c>
    </row>
    <row r="6" spans="1:20" ht="50.25" customHeight="1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160</v>
      </c>
      <c r="Q6" s="164" t="s">
        <v>150</v>
      </c>
      <c r="R6" s="396"/>
      <c r="S6" s="421"/>
      <c r="T6" s="428"/>
    </row>
    <row r="7" spans="1:20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14600</v>
      </c>
      <c r="H7" s="107"/>
      <c r="I7" s="107"/>
      <c r="J7" s="107"/>
      <c r="K7" s="107"/>
      <c r="L7" s="107">
        <v>535.63</v>
      </c>
      <c r="M7" s="103"/>
      <c r="N7" s="109"/>
      <c r="O7" s="103"/>
      <c r="P7" s="103">
        <f>ROUND(G7*2.5%,0)</f>
        <v>365</v>
      </c>
      <c r="Q7" s="98"/>
      <c r="R7" s="103">
        <f>SUM(G7+M7-P7-Q7)</f>
        <v>14235</v>
      </c>
      <c r="S7" s="116">
        <f>ROUND(G7*2.5%,0)</f>
        <v>365</v>
      </c>
      <c r="T7" s="100"/>
    </row>
    <row r="8" spans="1:20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13500</v>
      </c>
      <c r="H8" s="107"/>
      <c r="I8" s="107"/>
      <c r="J8" s="107"/>
      <c r="K8" s="107"/>
      <c r="L8" s="107">
        <v>535.63</v>
      </c>
      <c r="M8" s="103"/>
      <c r="N8" s="109"/>
      <c r="O8" s="103"/>
      <c r="P8" s="103">
        <f t="shared" ref="P8:P50" si="0">ROUND(G8*2.5%,0)</f>
        <v>338</v>
      </c>
      <c r="Q8" s="98"/>
      <c r="R8" s="103">
        <f t="shared" ref="R8:R51" si="1">SUM(G8+M8-P8-Q8)</f>
        <v>13162</v>
      </c>
      <c r="S8" s="116">
        <f t="shared" ref="S8:S50" si="2">ROUND(G8*2.5%,0)</f>
        <v>338</v>
      </c>
      <c r="T8" s="100"/>
    </row>
    <row r="9" spans="1:20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13400</v>
      </c>
      <c r="H9" s="107"/>
      <c r="I9" s="107"/>
      <c r="J9" s="107"/>
      <c r="K9" s="107"/>
      <c r="L9" s="107">
        <v>535.63</v>
      </c>
      <c r="M9" s="103"/>
      <c r="N9" s="109"/>
      <c r="O9" s="103"/>
      <c r="P9" s="103">
        <f t="shared" si="0"/>
        <v>335</v>
      </c>
      <c r="Q9" s="98"/>
      <c r="R9" s="103">
        <f t="shared" si="1"/>
        <v>13065</v>
      </c>
      <c r="S9" s="116">
        <f t="shared" si="2"/>
        <v>335</v>
      </c>
      <c r="T9" s="100"/>
    </row>
    <row r="10" spans="1:20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16500</v>
      </c>
      <c r="H10" s="107"/>
      <c r="I10" s="107"/>
      <c r="J10" s="107"/>
      <c r="K10" s="107"/>
      <c r="L10" s="107">
        <v>535.63</v>
      </c>
      <c r="M10" s="103"/>
      <c r="N10" s="109"/>
      <c r="O10" s="103"/>
      <c r="P10" s="103">
        <v>375</v>
      </c>
      <c r="Q10" s="98">
        <v>651</v>
      </c>
      <c r="R10" s="103">
        <f t="shared" si="1"/>
        <v>15474</v>
      </c>
      <c r="S10" s="116">
        <v>375</v>
      </c>
      <c r="T10" s="100"/>
    </row>
    <row r="11" spans="1:20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17300</v>
      </c>
      <c r="H11" s="107"/>
      <c r="I11" s="107"/>
      <c r="J11" s="107"/>
      <c r="K11" s="107"/>
      <c r="L11" s="107">
        <v>535.63</v>
      </c>
      <c r="M11" s="103"/>
      <c r="N11" s="109"/>
      <c r="O11" s="103"/>
      <c r="P11" s="103">
        <v>375</v>
      </c>
      <c r="Q11" s="98"/>
      <c r="R11" s="103">
        <f t="shared" si="1"/>
        <v>16925</v>
      </c>
      <c r="S11" s="116">
        <v>375</v>
      </c>
      <c r="T11" s="100"/>
    </row>
    <row r="12" spans="1:20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19000</v>
      </c>
      <c r="H12" s="107"/>
      <c r="I12" s="107"/>
      <c r="J12" s="107"/>
      <c r="K12" s="107"/>
      <c r="L12" s="107">
        <v>535.63</v>
      </c>
      <c r="M12" s="103"/>
      <c r="N12" s="109"/>
      <c r="O12" s="103"/>
      <c r="P12" s="103">
        <v>375</v>
      </c>
      <c r="Q12" s="98"/>
      <c r="R12" s="103">
        <f t="shared" si="1"/>
        <v>18625</v>
      </c>
      <c r="S12" s="116">
        <v>375</v>
      </c>
      <c r="T12" s="100"/>
    </row>
    <row r="13" spans="1:20" s="110" customFormat="1">
      <c r="A13" s="117">
        <v>7</v>
      </c>
      <c r="B13" s="106" t="s">
        <v>38</v>
      </c>
      <c r="C13" s="107" t="s">
        <v>39</v>
      </c>
      <c r="D13" s="107" t="s">
        <v>39</v>
      </c>
      <c r="E13" s="107" t="s">
        <v>32</v>
      </c>
      <c r="F13" s="193" t="s">
        <v>169</v>
      </c>
      <c r="G13" s="103">
        <v>25000</v>
      </c>
      <c r="H13" s="107"/>
      <c r="I13" s="107"/>
      <c r="J13" s="107"/>
      <c r="K13" s="107"/>
      <c r="L13" s="107">
        <v>535.63</v>
      </c>
      <c r="M13" s="103"/>
      <c r="N13" s="109"/>
      <c r="O13" s="103"/>
      <c r="P13" s="103">
        <v>375</v>
      </c>
      <c r="Q13" s="98">
        <v>1476</v>
      </c>
      <c r="R13" s="103">
        <f t="shared" si="1"/>
        <v>23149</v>
      </c>
      <c r="S13" s="116">
        <v>375</v>
      </c>
      <c r="T13" s="100"/>
    </row>
    <row r="14" spans="1:20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93" t="s">
        <v>169</v>
      </c>
      <c r="G14" s="103">
        <v>20500</v>
      </c>
      <c r="H14" s="107"/>
      <c r="I14" s="107"/>
      <c r="J14" s="107"/>
      <c r="K14" s="107"/>
      <c r="L14" s="107">
        <v>535.63</v>
      </c>
      <c r="M14" s="103"/>
      <c r="N14" s="109"/>
      <c r="O14" s="103"/>
      <c r="P14" s="103">
        <v>375</v>
      </c>
      <c r="Q14" s="98">
        <v>705</v>
      </c>
      <c r="R14" s="103">
        <f t="shared" si="1"/>
        <v>19420</v>
      </c>
      <c r="S14" s="116">
        <v>375</v>
      </c>
      <c r="T14" s="100"/>
    </row>
    <row r="15" spans="1:20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98" t="s">
        <v>168</v>
      </c>
      <c r="G15" s="103">
        <v>25000</v>
      </c>
      <c r="H15" s="107"/>
      <c r="I15" s="107"/>
      <c r="J15" s="107"/>
      <c r="K15" s="107"/>
      <c r="L15" s="107">
        <v>535.63</v>
      </c>
      <c r="M15" s="103"/>
      <c r="N15" s="109"/>
      <c r="O15" s="103"/>
      <c r="P15" s="103">
        <v>375</v>
      </c>
      <c r="Q15" s="98"/>
      <c r="R15" s="103">
        <f t="shared" si="1"/>
        <v>24625</v>
      </c>
      <c r="S15" s="116">
        <v>375</v>
      </c>
      <c r="T15" s="100"/>
    </row>
    <row r="16" spans="1:20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98" t="s">
        <v>168</v>
      </c>
      <c r="G16" s="103">
        <v>19700</v>
      </c>
      <c r="H16" s="107"/>
      <c r="I16" s="107"/>
      <c r="J16" s="107"/>
      <c r="K16" s="107"/>
      <c r="L16" s="107">
        <v>535.63</v>
      </c>
      <c r="M16" s="103"/>
      <c r="N16" s="109"/>
      <c r="O16" s="103"/>
      <c r="P16" s="103">
        <v>375</v>
      </c>
      <c r="Q16" s="98"/>
      <c r="R16" s="103">
        <f t="shared" si="1"/>
        <v>19325</v>
      </c>
      <c r="S16" s="116">
        <v>375</v>
      </c>
      <c r="T16" s="100"/>
    </row>
    <row r="17" spans="1:20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98" t="s">
        <v>168</v>
      </c>
      <c r="G17" s="103">
        <v>17600</v>
      </c>
      <c r="H17" s="107"/>
      <c r="I17" s="107"/>
      <c r="J17" s="107"/>
      <c r="K17" s="107"/>
      <c r="L17" s="107">
        <v>535.63</v>
      </c>
      <c r="M17" s="103"/>
      <c r="N17" s="109"/>
      <c r="O17" s="103"/>
      <c r="P17" s="103">
        <v>375</v>
      </c>
      <c r="Q17" s="98"/>
      <c r="R17" s="103">
        <f t="shared" si="1"/>
        <v>17225</v>
      </c>
      <c r="S17" s="116">
        <v>375</v>
      </c>
      <c r="T17" s="100"/>
    </row>
    <row r="18" spans="1:20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98" t="s">
        <v>168</v>
      </c>
      <c r="G18" s="103">
        <v>25000</v>
      </c>
      <c r="H18" s="107"/>
      <c r="I18" s="107"/>
      <c r="J18" s="107"/>
      <c r="K18" s="107"/>
      <c r="L18" s="107">
        <v>535.63</v>
      </c>
      <c r="M18" s="103"/>
      <c r="N18" s="109"/>
      <c r="O18" s="103"/>
      <c r="P18" s="103">
        <v>375</v>
      </c>
      <c r="Q18" s="98"/>
      <c r="R18" s="103">
        <f t="shared" si="1"/>
        <v>24625</v>
      </c>
      <c r="S18" s="116">
        <v>375</v>
      </c>
      <c r="T18" s="100"/>
    </row>
    <row r="19" spans="1:20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98" t="s">
        <v>168</v>
      </c>
      <c r="G19" s="103">
        <v>22700</v>
      </c>
      <c r="H19" s="107"/>
      <c r="I19" s="107"/>
      <c r="J19" s="107"/>
      <c r="K19" s="107"/>
      <c r="L19" s="107">
        <v>535.63</v>
      </c>
      <c r="M19" s="103"/>
      <c r="N19" s="109"/>
      <c r="O19" s="103"/>
      <c r="P19" s="103">
        <v>375</v>
      </c>
      <c r="Q19" s="98"/>
      <c r="R19" s="103">
        <f t="shared" si="1"/>
        <v>22325</v>
      </c>
      <c r="S19" s="116">
        <v>375</v>
      </c>
      <c r="T19" s="100"/>
    </row>
    <row r="20" spans="1:20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93" t="s">
        <v>169</v>
      </c>
      <c r="G20" s="103">
        <v>23500</v>
      </c>
      <c r="H20" s="107"/>
      <c r="I20" s="107"/>
      <c r="J20" s="107"/>
      <c r="K20" s="107"/>
      <c r="L20" s="107">
        <v>535.63</v>
      </c>
      <c r="M20" s="103"/>
      <c r="N20" s="109"/>
      <c r="O20" s="103"/>
      <c r="P20" s="103">
        <v>375</v>
      </c>
      <c r="Q20" s="98"/>
      <c r="R20" s="103">
        <f t="shared" si="1"/>
        <v>23125</v>
      </c>
      <c r="S20" s="116">
        <v>375</v>
      </c>
      <c r="T20" s="100"/>
    </row>
    <row r="21" spans="1:20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93" t="s">
        <v>169</v>
      </c>
      <c r="G21" s="103">
        <v>25000</v>
      </c>
      <c r="H21" s="107"/>
      <c r="I21" s="107"/>
      <c r="J21" s="107"/>
      <c r="K21" s="107"/>
      <c r="L21" s="107">
        <v>535.63</v>
      </c>
      <c r="M21" s="103"/>
      <c r="N21" s="109"/>
      <c r="O21" s="103"/>
      <c r="P21" s="103">
        <v>375</v>
      </c>
      <c r="Q21" s="98"/>
      <c r="R21" s="103">
        <f t="shared" si="1"/>
        <v>24625</v>
      </c>
      <c r="S21" s="116">
        <v>375</v>
      </c>
      <c r="T21" s="100"/>
    </row>
    <row r="22" spans="1:20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>
        <v>535.63</v>
      </c>
      <c r="M22" s="103"/>
      <c r="N22" s="109"/>
      <c r="O22" s="103"/>
      <c r="P22" s="103">
        <v>375</v>
      </c>
      <c r="Q22" s="98"/>
      <c r="R22" s="103">
        <f t="shared" si="1"/>
        <v>24625</v>
      </c>
      <c r="S22" s="116">
        <v>375</v>
      </c>
      <c r="T22" s="100"/>
    </row>
    <row r="23" spans="1:20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>
        <v>535.63</v>
      </c>
      <c r="M23" s="103"/>
      <c r="N23" s="109"/>
      <c r="O23" s="103"/>
      <c r="P23" s="103">
        <v>375</v>
      </c>
      <c r="Q23" s="98"/>
      <c r="R23" s="103">
        <f t="shared" si="1"/>
        <v>24625</v>
      </c>
      <c r="S23" s="116">
        <v>375</v>
      </c>
      <c r="T23" s="100"/>
    </row>
    <row r="24" spans="1:20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>
        <v>535.63</v>
      </c>
      <c r="M24" s="103"/>
      <c r="N24" s="109"/>
      <c r="O24" s="103"/>
      <c r="P24" s="103">
        <v>375</v>
      </c>
      <c r="Q24" s="98"/>
      <c r="R24" s="103">
        <f t="shared" si="1"/>
        <v>24625</v>
      </c>
      <c r="S24" s="116">
        <v>375</v>
      </c>
      <c r="T24" s="100"/>
    </row>
    <row r="25" spans="1:20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>
        <v>535.63</v>
      </c>
      <c r="M25" s="103"/>
      <c r="N25" s="109"/>
      <c r="O25" s="103"/>
      <c r="P25" s="103">
        <v>375</v>
      </c>
      <c r="Q25" s="98"/>
      <c r="R25" s="103">
        <f t="shared" si="1"/>
        <v>24625</v>
      </c>
      <c r="S25" s="116">
        <v>375</v>
      </c>
      <c r="T25" s="100"/>
    </row>
    <row r="26" spans="1:20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98" t="s">
        <v>168</v>
      </c>
      <c r="G26" s="103">
        <v>25000</v>
      </c>
      <c r="H26" s="107"/>
      <c r="I26" s="107"/>
      <c r="J26" s="107"/>
      <c r="K26" s="107"/>
      <c r="L26" s="107">
        <v>535.63</v>
      </c>
      <c r="M26" s="103"/>
      <c r="N26" s="109"/>
      <c r="O26" s="103"/>
      <c r="P26" s="103">
        <v>375</v>
      </c>
      <c r="Q26" s="98"/>
      <c r="R26" s="103">
        <f t="shared" si="1"/>
        <v>24625</v>
      </c>
      <c r="S26" s="116">
        <v>375</v>
      </c>
      <c r="T26" s="100"/>
    </row>
    <row r="27" spans="1:20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24" t="s">
        <v>168</v>
      </c>
      <c r="G27" s="124">
        <f>+I27*J27</f>
        <v>9200</v>
      </c>
      <c r="H27" s="123"/>
      <c r="I27" s="123">
        <v>400</v>
      </c>
      <c r="J27" s="123">
        <v>23</v>
      </c>
      <c r="K27" s="123"/>
      <c r="L27" s="123">
        <v>535.63</v>
      </c>
      <c r="M27" s="124"/>
      <c r="N27" s="126"/>
      <c r="O27" s="124"/>
      <c r="P27" s="124">
        <f t="shared" si="0"/>
        <v>230</v>
      </c>
      <c r="Q27" s="135"/>
      <c r="R27" s="124">
        <f t="shared" si="1"/>
        <v>8970</v>
      </c>
      <c r="S27" s="128">
        <f t="shared" si="2"/>
        <v>230</v>
      </c>
      <c r="T27" s="124"/>
    </row>
    <row r="28" spans="1:20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24" t="s">
        <v>168</v>
      </c>
      <c r="G28" s="124">
        <f>+I28*J28</f>
        <v>8640</v>
      </c>
      <c r="H28" s="123"/>
      <c r="I28" s="123">
        <v>360</v>
      </c>
      <c r="J28" s="123">
        <v>24</v>
      </c>
      <c r="K28" s="123"/>
      <c r="L28" s="123">
        <v>535.63</v>
      </c>
      <c r="M28" s="124">
        <v>13193</v>
      </c>
      <c r="N28" s="126"/>
      <c r="O28" s="124"/>
      <c r="P28" s="124">
        <f t="shared" si="0"/>
        <v>216</v>
      </c>
      <c r="Q28" s="135"/>
      <c r="R28" s="124">
        <f t="shared" si="1"/>
        <v>21617</v>
      </c>
      <c r="S28" s="128">
        <f t="shared" si="2"/>
        <v>216</v>
      </c>
      <c r="T28" s="124"/>
    </row>
    <row r="29" spans="1:20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98" t="s">
        <v>168</v>
      </c>
      <c r="G29" s="103">
        <v>25000</v>
      </c>
      <c r="H29" s="107"/>
      <c r="I29" s="107"/>
      <c r="J29" s="107"/>
      <c r="K29" s="107"/>
      <c r="L29" s="107">
        <v>535.63</v>
      </c>
      <c r="M29" s="103"/>
      <c r="N29" s="109"/>
      <c r="O29" s="103"/>
      <c r="P29" s="103">
        <v>375</v>
      </c>
      <c r="Q29" s="98"/>
      <c r="R29" s="103">
        <f t="shared" si="1"/>
        <v>24625</v>
      </c>
      <c r="S29" s="98">
        <v>375</v>
      </c>
      <c r="T29" s="100"/>
    </row>
    <row r="30" spans="1:20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93" t="s">
        <v>169</v>
      </c>
      <c r="G30" s="103">
        <v>15500</v>
      </c>
      <c r="H30" s="113" t="s">
        <v>80</v>
      </c>
      <c r="I30" s="107"/>
      <c r="J30" s="107"/>
      <c r="K30" s="107"/>
      <c r="L30" s="107">
        <v>535.63</v>
      </c>
      <c r="M30" s="103"/>
      <c r="N30" s="109"/>
      <c r="O30" s="103"/>
      <c r="P30" s="103">
        <v>375</v>
      </c>
      <c r="Q30" s="98"/>
      <c r="R30" s="103">
        <f t="shared" si="1"/>
        <v>15125</v>
      </c>
      <c r="S30" s="116">
        <v>375</v>
      </c>
      <c r="T30" s="100"/>
    </row>
    <row r="31" spans="1:20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261" t="s">
        <v>169</v>
      </c>
      <c r="G31" s="98">
        <v>15500</v>
      </c>
      <c r="H31" s="113" t="s">
        <v>83</v>
      </c>
      <c r="I31" s="95"/>
      <c r="J31" s="95"/>
      <c r="K31" s="95"/>
      <c r="L31" s="107">
        <v>535.62</v>
      </c>
      <c r="M31" s="98"/>
      <c r="N31" s="109"/>
      <c r="O31" s="103"/>
      <c r="P31" s="103">
        <v>375</v>
      </c>
      <c r="Q31" s="98"/>
      <c r="R31" s="103">
        <f t="shared" si="1"/>
        <v>15125</v>
      </c>
      <c r="S31" s="116">
        <v>375</v>
      </c>
      <c r="T31" s="100"/>
    </row>
    <row r="32" spans="1:20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98" t="s">
        <v>168</v>
      </c>
      <c r="G32" s="103">
        <v>25000</v>
      </c>
      <c r="H32" s="108" t="s">
        <v>88</v>
      </c>
      <c r="I32" s="107"/>
      <c r="J32" s="107"/>
      <c r="K32" s="107"/>
      <c r="L32" s="107">
        <v>535.62</v>
      </c>
      <c r="M32" s="103"/>
      <c r="N32" s="109"/>
      <c r="O32" s="103"/>
      <c r="P32" s="103">
        <v>375</v>
      </c>
      <c r="Q32" s="98"/>
      <c r="R32" s="103">
        <f t="shared" si="1"/>
        <v>24625</v>
      </c>
      <c r="S32" s="116">
        <v>375</v>
      </c>
      <c r="T32" s="102"/>
    </row>
    <row r="33" spans="1:20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24" t="s">
        <v>168</v>
      </c>
      <c r="G33" s="124">
        <f>+I33*J33</f>
        <v>8740</v>
      </c>
      <c r="H33" s="125" t="s">
        <v>88</v>
      </c>
      <c r="I33" s="123">
        <v>380</v>
      </c>
      <c r="J33" s="123">
        <v>23</v>
      </c>
      <c r="K33" s="123"/>
      <c r="L33" s="123">
        <v>535.62</v>
      </c>
      <c r="M33" s="124"/>
      <c r="N33" s="126"/>
      <c r="O33" s="124"/>
      <c r="P33" s="124">
        <f>ROUND(G33*2.5%,0)</f>
        <v>219</v>
      </c>
      <c r="Q33" s="135"/>
      <c r="R33" s="124">
        <f t="shared" si="1"/>
        <v>8521</v>
      </c>
      <c r="S33" s="128">
        <f t="shared" si="2"/>
        <v>219</v>
      </c>
      <c r="T33" s="127"/>
    </row>
    <row r="34" spans="1:20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93" t="s">
        <v>169</v>
      </c>
      <c r="G34" s="103">
        <v>16200</v>
      </c>
      <c r="H34" s="108" t="s">
        <v>93</v>
      </c>
      <c r="I34" s="107"/>
      <c r="J34" s="107"/>
      <c r="K34" s="107"/>
      <c r="L34" s="107">
        <v>535.62</v>
      </c>
      <c r="M34" s="103"/>
      <c r="N34" s="109"/>
      <c r="O34" s="103"/>
      <c r="P34" s="103">
        <v>375</v>
      </c>
      <c r="Q34" s="98"/>
      <c r="R34" s="103">
        <f t="shared" si="1"/>
        <v>15825</v>
      </c>
      <c r="S34" s="116">
        <v>375</v>
      </c>
      <c r="T34" s="100"/>
    </row>
    <row r="35" spans="1:20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24" t="s">
        <v>168</v>
      </c>
      <c r="G35" s="124">
        <f>I35*J35</f>
        <v>8250</v>
      </c>
      <c r="H35" s="125" t="s">
        <v>96</v>
      </c>
      <c r="I35" s="123">
        <v>330</v>
      </c>
      <c r="J35" s="123">
        <v>25</v>
      </c>
      <c r="K35" s="123"/>
      <c r="L35" s="123">
        <v>535.62</v>
      </c>
      <c r="M35" s="124">
        <v>19844</v>
      </c>
      <c r="N35" s="126"/>
      <c r="O35" s="124"/>
      <c r="P35" s="124">
        <f t="shared" si="0"/>
        <v>206</v>
      </c>
      <c r="Q35" s="135"/>
      <c r="R35" s="124">
        <f t="shared" si="1"/>
        <v>27888</v>
      </c>
      <c r="S35" s="128">
        <f t="shared" si="2"/>
        <v>206</v>
      </c>
      <c r="T35" s="127"/>
    </row>
    <row r="36" spans="1:20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24" t="s">
        <v>168</v>
      </c>
      <c r="G36" s="124">
        <f t="shared" ref="G36:G42" si="3">I36*J36</f>
        <v>8250</v>
      </c>
      <c r="H36" s="125" t="s">
        <v>96</v>
      </c>
      <c r="I36" s="123">
        <v>330</v>
      </c>
      <c r="J36" s="123">
        <v>25</v>
      </c>
      <c r="K36" s="123"/>
      <c r="L36" s="123">
        <v>535.62</v>
      </c>
      <c r="M36" s="124">
        <v>19844</v>
      </c>
      <c r="N36" s="126"/>
      <c r="O36" s="124"/>
      <c r="P36" s="124">
        <f t="shared" si="0"/>
        <v>206</v>
      </c>
      <c r="Q36" s="135"/>
      <c r="R36" s="124">
        <f t="shared" si="1"/>
        <v>27888</v>
      </c>
      <c r="S36" s="128">
        <f t="shared" si="2"/>
        <v>206</v>
      </c>
      <c r="T36" s="127"/>
    </row>
    <row r="37" spans="1:20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24" t="s">
        <v>168</v>
      </c>
      <c r="G37" s="124">
        <f t="shared" si="3"/>
        <v>7920</v>
      </c>
      <c r="H37" s="125" t="s">
        <v>96</v>
      </c>
      <c r="I37" s="123">
        <v>330</v>
      </c>
      <c r="J37" s="123">
        <v>24</v>
      </c>
      <c r="K37" s="123"/>
      <c r="L37" s="123">
        <v>535.62</v>
      </c>
      <c r="M37" s="124">
        <v>13193</v>
      </c>
      <c r="N37" s="126"/>
      <c r="O37" s="124"/>
      <c r="P37" s="124">
        <f t="shared" si="0"/>
        <v>198</v>
      </c>
      <c r="Q37" s="135"/>
      <c r="R37" s="124">
        <f t="shared" si="1"/>
        <v>20915</v>
      </c>
      <c r="S37" s="128">
        <f t="shared" si="2"/>
        <v>198</v>
      </c>
      <c r="T37" s="124"/>
    </row>
    <row r="38" spans="1:20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24" t="s">
        <v>168</v>
      </c>
      <c r="G38" s="124">
        <f t="shared" si="3"/>
        <v>8250</v>
      </c>
      <c r="H38" s="125" t="s">
        <v>96</v>
      </c>
      <c r="I38" s="123">
        <v>330</v>
      </c>
      <c r="J38" s="123">
        <v>25</v>
      </c>
      <c r="K38" s="123"/>
      <c r="L38" s="123">
        <v>535.62</v>
      </c>
      <c r="M38" s="124">
        <v>19844</v>
      </c>
      <c r="N38" s="126"/>
      <c r="O38" s="124"/>
      <c r="P38" s="124">
        <f t="shared" si="0"/>
        <v>206</v>
      </c>
      <c r="Q38" s="135"/>
      <c r="R38" s="124">
        <f t="shared" si="1"/>
        <v>27888</v>
      </c>
      <c r="S38" s="128">
        <f t="shared" si="2"/>
        <v>206</v>
      </c>
      <c r="T38" s="124"/>
    </row>
    <row r="39" spans="1:20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24" t="s">
        <v>168</v>
      </c>
      <c r="G39" s="124">
        <f t="shared" si="3"/>
        <v>10000</v>
      </c>
      <c r="H39" s="133" t="s">
        <v>107</v>
      </c>
      <c r="I39" s="132">
        <v>400</v>
      </c>
      <c r="J39" s="132">
        <v>25</v>
      </c>
      <c r="K39" s="132"/>
      <c r="L39" s="123">
        <v>535.62</v>
      </c>
      <c r="M39" s="135"/>
      <c r="N39" s="134"/>
      <c r="O39" s="135"/>
      <c r="P39" s="124">
        <f t="shared" si="0"/>
        <v>250</v>
      </c>
      <c r="Q39" s="135"/>
      <c r="R39" s="124">
        <f t="shared" si="1"/>
        <v>9750</v>
      </c>
      <c r="S39" s="128">
        <f t="shared" si="2"/>
        <v>250</v>
      </c>
      <c r="T39" s="124"/>
    </row>
    <row r="40" spans="1:20" s="136" customFormat="1">
      <c r="A40" s="121">
        <v>34</v>
      </c>
      <c r="B40" s="131" t="s">
        <v>110</v>
      </c>
      <c r="C40" s="137">
        <v>6016300837717</v>
      </c>
      <c r="D40" s="137">
        <v>991019747856</v>
      </c>
      <c r="E40" s="132" t="s">
        <v>95</v>
      </c>
      <c r="F40" s="124" t="s">
        <v>168</v>
      </c>
      <c r="G40" s="124">
        <f t="shared" si="3"/>
        <v>8250</v>
      </c>
      <c r="H40" s="133" t="s">
        <v>111</v>
      </c>
      <c r="I40" s="132">
        <v>330</v>
      </c>
      <c r="J40" s="132">
        <v>25</v>
      </c>
      <c r="K40" s="132"/>
      <c r="L40" s="123">
        <v>535.62</v>
      </c>
      <c r="M40" s="135"/>
      <c r="N40" s="134"/>
      <c r="O40" s="135"/>
      <c r="P40" s="124">
        <f t="shared" si="0"/>
        <v>206</v>
      </c>
      <c r="Q40" s="135"/>
      <c r="R40" s="124">
        <f t="shared" si="1"/>
        <v>8044</v>
      </c>
      <c r="S40" s="128">
        <f t="shared" si="2"/>
        <v>206</v>
      </c>
      <c r="T40" s="124"/>
    </row>
    <row r="41" spans="1:20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24" t="s">
        <v>168</v>
      </c>
      <c r="G41" s="124">
        <f t="shared" si="3"/>
        <v>8250</v>
      </c>
      <c r="H41" s="133" t="s">
        <v>111</v>
      </c>
      <c r="I41" s="132">
        <v>330</v>
      </c>
      <c r="J41" s="132">
        <v>25</v>
      </c>
      <c r="K41" s="132"/>
      <c r="L41" s="132">
        <v>535.62</v>
      </c>
      <c r="M41" s="135">
        <v>19844</v>
      </c>
      <c r="N41" s="134"/>
      <c r="O41" s="135"/>
      <c r="P41" s="124">
        <f t="shared" si="0"/>
        <v>206</v>
      </c>
      <c r="Q41" s="135"/>
      <c r="R41" s="124">
        <f t="shared" si="1"/>
        <v>27888</v>
      </c>
      <c r="S41" s="128">
        <f t="shared" si="2"/>
        <v>206</v>
      </c>
      <c r="T41" s="124"/>
    </row>
    <row r="42" spans="1:20" s="136" customFormat="1">
      <c r="A42" s="121">
        <v>36</v>
      </c>
      <c r="B42" s="131" t="s">
        <v>113</v>
      </c>
      <c r="C42" s="137">
        <v>6016300837750</v>
      </c>
      <c r="D42" s="137">
        <v>991019747686</v>
      </c>
      <c r="E42" s="132" t="s">
        <v>95</v>
      </c>
      <c r="F42" s="124" t="s">
        <v>168</v>
      </c>
      <c r="G42" s="124">
        <f t="shared" si="3"/>
        <v>8250</v>
      </c>
      <c r="H42" s="133" t="s">
        <v>111</v>
      </c>
      <c r="I42" s="132">
        <v>330</v>
      </c>
      <c r="J42" s="132">
        <v>25</v>
      </c>
      <c r="K42" s="132"/>
      <c r="L42" s="123">
        <v>535.62</v>
      </c>
      <c r="M42" s="135"/>
      <c r="N42" s="134"/>
      <c r="O42" s="135"/>
      <c r="P42" s="124">
        <f t="shared" si="0"/>
        <v>206</v>
      </c>
      <c r="Q42" s="135"/>
      <c r="R42" s="124">
        <f t="shared" si="1"/>
        <v>8044</v>
      </c>
      <c r="S42" s="128">
        <f t="shared" si="2"/>
        <v>206</v>
      </c>
      <c r="T42" s="132"/>
    </row>
    <row r="43" spans="1:20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98" t="s">
        <v>168</v>
      </c>
      <c r="G43" s="103">
        <v>25000</v>
      </c>
      <c r="H43" s="112" t="s">
        <v>101</v>
      </c>
      <c r="I43" s="107"/>
      <c r="J43" s="107"/>
      <c r="K43" s="107"/>
      <c r="L43" s="107">
        <v>535.62</v>
      </c>
      <c r="M43" s="103"/>
      <c r="N43" s="109"/>
      <c r="O43" s="103"/>
      <c r="P43" s="103">
        <v>375</v>
      </c>
      <c r="Q43" s="98"/>
      <c r="R43" s="103">
        <f t="shared" si="1"/>
        <v>24625</v>
      </c>
      <c r="S43" s="116">
        <v>375</v>
      </c>
      <c r="T43" s="100"/>
    </row>
    <row r="44" spans="1:20" s="129" customFormat="1">
      <c r="A44" s="121">
        <v>38</v>
      </c>
      <c r="B44" s="122" t="s">
        <v>102</v>
      </c>
      <c r="C44" s="130">
        <v>6016201374921</v>
      </c>
      <c r="D44" s="137">
        <v>991017408884</v>
      </c>
      <c r="E44" s="123" t="s">
        <v>95</v>
      </c>
      <c r="F44" s="124" t="s">
        <v>168</v>
      </c>
      <c r="G44" s="124">
        <f>+I44*J44</f>
        <v>8250</v>
      </c>
      <c r="H44" s="138" t="s">
        <v>106</v>
      </c>
      <c r="I44" s="123">
        <v>330</v>
      </c>
      <c r="J44" s="123">
        <v>25</v>
      </c>
      <c r="K44" s="123"/>
      <c r="L44" s="123">
        <v>535.62</v>
      </c>
      <c r="M44" s="124">
        <v>19844</v>
      </c>
      <c r="N44" s="126"/>
      <c r="O44" s="124"/>
      <c r="P44" s="124">
        <f t="shared" si="0"/>
        <v>206</v>
      </c>
      <c r="Q44" s="135"/>
      <c r="R44" s="124">
        <f t="shared" si="1"/>
        <v>27888</v>
      </c>
      <c r="S44" s="128">
        <f t="shared" si="2"/>
        <v>206</v>
      </c>
      <c r="T44" s="139"/>
    </row>
    <row r="45" spans="1:20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261" t="s">
        <v>169</v>
      </c>
      <c r="G45" s="98">
        <v>12000</v>
      </c>
      <c r="H45" s="99" t="s">
        <v>115</v>
      </c>
      <c r="I45" s="100"/>
      <c r="J45" s="100"/>
      <c r="K45" s="100"/>
      <c r="L45" s="107">
        <v>535.62</v>
      </c>
      <c r="M45" s="102"/>
      <c r="N45" s="101"/>
      <c r="O45" s="102"/>
      <c r="P45" s="103">
        <f t="shared" si="0"/>
        <v>300</v>
      </c>
      <c r="Q45" s="98"/>
      <c r="R45" s="103">
        <f t="shared" si="1"/>
        <v>11700</v>
      </c>
      <c r="S45" s="116">
        <f t="shared" si="2"/>
        <v>300</v>
      </c>
      <c r="T45" s="100"/>
    </row>
    <row r="46" spans="1:20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248" t="s">
        <v>168</v>
      </c>
      <c r="G46" s="98">
        <v>15000</v>
      </c>
      <c r="H46" s="99" t="s">
        <v>119</v>
      </c>
      <c r="I46" s="95"/>
      <c r="J46" s="95"/>
      <c r="K46" s="95"/>
      <c r="L46" s="107">
        <v>535.62</v>
      </c>
      <c r="M46" s="98"/>
      <c r="N46" s="115"/>
      <c r="O46" s="98"/>
      <c r="P46" s="103">
        <f t="shared" si="0"/>
        <v>375</v>
      </c>
      <c r="Q46" s="98"/>
      <c r="R46" s="103">
        <f t="shared" si="1"/>
        <v>14625</v>
      </c>
      <c r="S46" s="116">
        <f t="shared" si="2"/>
        <v>375</v>
      </c>
      <c r="T46" s="95"/>
    </row>
    <row r="47" spans="1:20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248" t="s">
        <v>168</v>
      </c>
      <c r="G47" s="98">
        <v>15000</v>
      </c>
      <c r="H47" s="99" t="s">
        <v>119</v>
      </c>
      <c r="I47" s="95"/>
      <c r="J47" s="95"/>
      <c r="K47" s="95"/>
      <c r="L47" s="107">
        <v>535.62</v>
      </c>
      <c r="M47" s="98"/>
      <c r="N47" s="115"/>
      <c r="O47" s="98"/>
      <c r="P47" s="103">
        <f t="shared" si="0"/>
        <v>375</v>
      </c>
      <c r="Q47" s="98"/>
      <c r="R47" s="103">
        <f t="shared" si="1"/>
        <v>14625</v>
      </c>
      <c r="S47" s="116">
        <f t="shared" si="2"/>
        <v>375</v>
      </c>
      <c r="T47" s="95"/>
    </row>
    <row r="48" spans="1:20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248" t="s">
        <v>168</v>
      </c>
      <c r="G48" s="98">
        <v>15000</v>
      </c>
      <c r="H48" s="99" t="s">
        <v>119</v>
      </c>
      <c r="I48" s="95"/>
      <c r="J48" s="95"/>
      <c r="K48" s="95"/>
      <c r="L48" s="107">
        <v>535.62</v>
      </c>
      <c r="M48" s="98"/>
      <c r="N48" s="115"/>
      <c r="O48" s="98"/>
      <c r="P48" s="103">
        <f t="shared" si="0"/>
        <v>375</v>
      </c>
      <c r="Q48" s="98"/>
      <c r="R48" s="103">
        <f t="shared" si="1"/>
        <v>14625</v>
      </c>
      <c r="S48" s="116">
        <f t="shared" si="2"/>
        <v>375</v>
      </c>
      <c r="T48" s="95"/>
    </row>
    <row r="49" spans="1:21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261" t="s">
        <v>169</v>
      </c>
      <c r="G49" s="98">
        <v>15000</v>
      </c>
      <c r="H49" s="99" t="s">
        <v>119</v>
      </c>
      <c r="I49" s="95"/>
      <c r="J49" s="95"/>
      <c r="K49" s="95"/>
      <c r="L49" s="107">
        <v>535.62</v>
      </c>
      <c r="M49" s="98"/>
      <c r="N49" s="115"/>
      <c r="O49" s="98"/>
      <c r="P49" s="103">
        <f t="shared" si="0"/>
        <v>375</v>
      </c>
      <c r="Q49" s="98"/>
      <c r="R49" s="103">
        <f t="shared" si="1"/>
        <v>14625</v>
      </c>
      <c r="S49" s="116">
        <f t="shared" si="2"/>
        <v>375</v>
      </c>
      <c r="T49" s="95"/>
    </row>
    <row r="50" spans="1:21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 t="s">
        <v>168</v>
      </c>
      <c r="G50" s="128">
        <f>I50*J50</f>
        <v>8400</v>
      </c>
      <c r="H50" s="144" t="s">
        <v>139</v>
      </c>
      <c r="I50" s="143">
        <v>350</v>
      </c>
      <c r="J50" s="143">
        <v>24</v>
      </c>
      <c r="K50" s="143"/>
      <c r="L50" s="123">
        <v>535.62</v>
      </c>
      <c r="M50" s="128">
        <v>13193</v>
      </c>
      <c r="N50" s="145"/>
      <c r="O50" s="128"/>
      <c r="P50" s="124">
        <f t="shared" si="0"/>
        <v>210</v>
      </c>
      <c r="Q50" s="128"/>
      <c r="R50" s="124">
        <f t="shared" si="1"/>
        <v>21383</v>
      </c>
      <c r="S50" s="128">
        <f t="shared" si="2"/>
        <v>210</v>
      </c>
      <c r="T50" s="139"/>
    </row>
    <row r="51" spans="1:21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256" t="s">
        <v>169</v>
      </c>
      <c r="G51" s="116">
        <v>23000</v>
      </c>
      <c r="H51" s="99" t="s">
        <v>164</v>
      </c>
      <c r="I51" s="95"/>
      <c r="J51" s="95"/>
      <c r="K51" s="183"/>
      <c r="L51" s="107">
        <v>535.62</v>
      </c>
      <c r="M51" s="185"/>
      <c r="N51" s="184"/>
      <c r="O51" s="185"/>
      <c r="P51" s="103">
        <v>375</v>
      </c>
      <c r="Q51" s="116"/>
      <c r="R51" s="103">
        <f t="shared" si="1"/>
        <v>22625</v>
      </c>
      <c r="S51" s="116">
        <v>375</v>
      </c>
      <c r="T51" s="100"/>
    </row>
    <row r="52" spans="1:21" s="147" customFormat="1">
      <c r="A52" s="121">
        <v>46</v>
      </c>
      <c r="B52" s="141" t="s">
        <v>191</v>
      </c>
      <c r="C52" s="137">
        <v>3220400075728</v>
      </c>
      <c r="D52" s="142">
        <v>3220400075728</v>
      </c>
      <c r="E52" s="143" t="s">
        <v>72</v>
      </c>
      <c r="F52" s="128" t="s">
        <v>168</v>
      </c>
      <c r="G52" s="128">
        <f>I52*J52</f>
        <v>5600</v>
      </c>
      <c r="H52" s="144" t="s">
        <v>194</v>
      </c>
      <c r="I52" s="143">
        <v>400</v>
      </c>
      <c r="J52" s="143">
        <v>14</v>
      </c>
      <c r="K52" s="143"/>
      <c r="L52" s="123">
        <v>535.62</v>
      </c>
      <c r="M52" s="128">
        <v>0</v>
      </c>
      <c r="N52" s="145"/>
      <c r="O52" s="128"/>
      <c r="P52" s="124">
        <f t="shared" ref="P52:P54" si="4">ROUND(G52*2.5%,0)</f>
        <v>140</v>
      </c>
      <c r="Q52" s="128"/>
      <c r="R52" s="124">
        <f t="shared" ref="R52:R54" si="5">SUM(G52+M52-P52-Q52)</f>
        <v>5460</v>
      </c>
      <c r="S52" s="128">
        <f t="shared" ref="S52:S54" si="6">ROUND(G52*2.5%,0)</f>
        <v>140</v>
      </c>
      <c r="T52" s="139" t="s">
        <v>195</v>
      </c>
    </row>
    <row r="53" spans="1:21" s="147" customFormat="1">
      <c r="A53" s="121">
        <v>47</v>
      </c>
      <c r="B53" s="141" t="s">
        <v>192</v>
      </c>
      <c r="C53" s="137">
        <v>1499900366870</v>
      </c>
      <c r="D53" s="142">
        <v>1499900366870</v>
      </c>
      <c r="E53" s="143" t="s">
        <v>72</v>
      </c>
      <c r="F53" s="128" t="s">
        <v>168</v>
      </c>
      <c r="G53" s="128">
        <f>I53*J53</f>
        <v>4550</v>
      </c>
      <c r="H53" s="144" t="s">
        <v>194</v>
      </c>
      <c r="I53" s="143">
        <v>325</v>
      </c>
      <c r="J53" s="143">
        <v>14</v>
      </c>
      <c r="K53" s="143"/>
      <c r="L53" s="123">
        <v>535.62</v>
      </c>
      <c r="M53" s="128">
        <v>0</v>
      </c>
      <c r="N53" s="145"/>
      <c r="O53" s="128"/>
      <c r="P53" s="124">
        <f t="shared" si="4"/>
        <v>114</v>
      </c>
      <c r="Q53" s="128"/>
      <c r="R53" s="124">
        <f t="shared" si="5"/>
        <v>4436</v>
      </c>
      <c r="S53" s="128">
        <f t="shared" si="6"/>
        <v>114</v>
      </c>
      <c r="T53" s="139" t="s">
        <v>195</v>
      </c>
    </row>
    <row r="54" spans="1:21" s="147" customFormat="1">
      <c r="A54" s="121">
        <v>48</v>
      </c>
      <c r="B54" s="141" t="s">
        <v>193</v>
      </c>
      <c r="C54" s="137">
        <v>1620100023048</v>
      </c>
      <c r="D54" s="142">
        <v>1620100023048</v>
      </c>
      <c r="E54" s="143" t="s">
        <v>44</v>
      </c>
      <c r="F54" s="128" t="s">
        <v>168</v>
      </c>
      <c r="G54" s="128">
        <f>I54*J54</f>
        <v>11662</v>
      </c>
      <c r="H54" s="144" t="s">
        <v>194</v>
      </c>
      <c r="I54" s="143">
        <v>833</v>
      </c>
      <c r="J54" s="143">
        <v>14</v>
      </c>
      <c r="K54" s="143"/>
      <c r="L54" s="123">
        <v>535.62</v>
      </c>
      <c r="M54" s="128">
        <v>0</v>
      </c>
      <c r="N54" s="145"/>
      <c r="O54" s="128"/>
      <c r="P54" s="124">
        <f t="shared" si="4"/>
        <v>292</v>
      </c>
      <c r="Q54" s="128"/>
      <c r="R54" s="124">
        <f t="shared" si="5"/>
        <v>11370</v>
      </c>
      <c r="S54" s="128">
        <f t="shared" si="6"/>
        <v>292</v>
      </c>
      <c r="T54" s="139" t="s">
        <v>195</v>
      </c>
    </row>
    <row r="55" spans="1:21" s="86" customFormat="1" ht="22.5" thickBot="1">
      <c r="A55" s="402" t="s">
        <v>103</v>
      </c>
      <c r="B55" s="402"/>
      <c r="C55" s="402"/>
      <c r="D55" s="402"/>
      <c r="E55" s="402"/>
      <c r="F55" s="402"/>
      <c r="G55" s="89">
        <f>SUM(G7:G54)</f>
        <v>772962</v>
      </c>
      <c r="H55" s="75"/>
      <c r="I55" s="75"/>
      <c r="J55" s="75"/>
      <c r="K55" s="89">
        <f t="shared" ref="K55:M55" si="7">SUM(K7:K54)</f>
        <v>0</v>
      </c>
      <c r="L55" s="89">
        <f t="shared" si="7"/>
        <v>25709.999999999982</v>
      </c>
      <c r="M55" s="89">
        <f t="shared" si="7"/>
        <v>138799</v>
      </c>
      <c r="N55" s="87"/>
      <c r="O55" s="87"/>
      <c r="P55" s="89">
        <f>SUM(P7:P54)</f>
        <v>15149</v>
      </c>
      <c r="Q55" s="89">
        <f t="shared" ref="Q55:S55" si="8">SUM(Q7:Q54)</f>
        <v>2832</v>
      </c>
      <c r="R55" s="89">
        <f t="shared" si="8"/>
        <v>893780</v>
      </c>
      <c r="S55" s="89">
        <f t="shared" si="8"/>
        <v>15149</v>
      </c>
      <c r="T55" s="310"/>
    </row>
    <row r="56" spans="1:21" ht="23.25" thickTop="1" thickBot="1">
      <c r="A56" s="119"/>
      <c r="B56" s="3"/>
      <c r="C56" s="3"/>
      <c r="D56" s="49"/>
      <c r="E56" s="3"/>
      <c r="F56" s="3"/>
      <c r="G56" s="39"/>
      <c r="H56" s="39"/>
      <c r="I56" s="39"/>
      <c r="J56" s="39"/>
      <c r="K56" s="39"/>
      <c r="L56" s="39"/>
      <c r="M56" s="39"/>
      <c r="N56" s="331"/>
      <c r="O56" s="331"/>
      <c r="P56" s="39"/>
      <c r="Q56" s="166"/>
      <c r="R56" s="39"/>
      <c r="T56" s="5"/>
    </row>
    <row r="57" spans="1:21" ht="31.5" customHeight="1" thickBot="1">
      <c r="A57" s="119"/>
      <c r="B57" s="50" t="s">
        <v>12</v>
      </c>
      <c r="C57" s="3"/>
      <c r="D57" s="49"/>
      <c r="E57" s="3"/>
      <c r="F57" s="3"/>
      <c r="G57" s="39"/>
      <c r="H57" s="156" t="s">
        <v>145</v>
      </c>
      <c r="I57" s="39"/>
      <c r="J57" s="39"/>
      <c r="K57" s="39"/>
      <c r="P57" s="303" t="s">
        <v>158</v>
      </c>
      <c r="Q57" s="153" t="s">
        <v>159</v>
      </c>
      <c r="R57" s="153" t="s">
        <v>190</v>
      </c>
      <c r="S57" s="164" t="s">
        <v>150</v>
      </c>
      <c r="T57" s="153" t="s">
        <v>11</v>
      </c>
      <c r="U57" s="5"/>
    </row>
    <row r="58" spans="1:21">
      <c r="A58" s="119"/>
      <c r="B58" s="52" t="s">
        <v>156</v>
      </c>
      <c r="C58" s="149">
        <v>0</v>
      </c>
      <c r="D58" s="301"/>
      <c r="E58" s="54" t="s">
        <v>142</v>
      </c>
      <c r="F58" s="54"/>
      <c r="G58" s="55" t="s">
        <v>140</v>
      </c>
      <c r="H58" s="170" t="s">
        <v>141</v>
      </c>
      <c r="I58" s="170">
        <v>16</v>
      </c>
      <c r="J58" s="171" t="s">
        <v>142</v>
      </c>
      <c r="K58" s="148"/>
      <c r="P58" s="16">
        <f>+G27+G28+G33+G35+G36+G37+G38+G39+G40+G41+G42+G44+G50+G52+G53+G54</f>
        <v>132462</v>
      </c>
      <c r="Q58" s="16">
        <f>+P27+P28+P33+P35+P36+P37+P38+P39+P40+P41+P42+P44+P50+P52+P53+P54</f>
        <v>3311</v>
      </c>
      <c r="R58" s="16">
        <f>+M27+M28+M33+M35+M36+M37+M38+M41+M44+M50+M52+M53+M54</f>
        <v>138799</v>
      </c>
      <c r="S58" s="24">
        <v>0</v>
      </c>
      <c r="T58" s="175">
        <f>+R27+R28+R33+R35+R36+R37+R38+R39+R40+R41+R42+R44+R50+R52+R53+R54</f>
        <v>267950</v>
      </c>
      <c r="U58" s="5"/>
    </row>
    <row r="59" spans="1:21">
      <c r="A59" s="119"/>
      <c r="B59" s="56" t="s">
        <v>137</v>
      </c>
      <c r="C59" s="150">
        <v>3</v>
      </c>
      <c r="D59" s="118"/>
      <c r="E59" s="6" t="s">
        <v>142</v>
      </c>
      <c r="F59" s="6"/>
      <c r="G59" s="190" t="s">
        <v>162</v>
      </c>
      <c r="H59" s="173" t="s">
        <v>144</v>
      </c>
      <c r="I59" s="173">
        <v>32</v>
      </c>
      <c r="J59" s="174" t="s">
        <v>142</v>
      </c>
      <c r="K59" s="148"/>
      <c r="P59" s="16">
        <f>+G7+G8+G9+G10+G11+G12+G13+G14+G15+G16+G17+G18+G19+G20+G21+G22+G23+G24+G25+G26+G29+G30+G31+G32+G34+G43+G45+G46+G47+G48+G49+G51</f>
        <v>640500</v>
      </c>
      <c r="Q59" s="16">
        <f>+P7+P8+P9+P10+P11+P12+P13+P14+P15+P16+P17+P18+P19+P20+P21+P22+P23+P24+P25+P26+P29+P30+P31+P32+P34+P43+P45+P46+P47+P48+P49+P51</f>
        <v>11838</v>
      </c>
      <c r="R59" s="16">
        <f>+M7+M8+M9+M10+M11+M12+M13+M14+M15+M16+M17+M18+M19+M20+M21+M22+M23+M24+M25+M26+M29+M30+M31+M32+M34+M43+M45+M46+M47+M48+M49+M51</f>
        <v>0</v>
      </c>
      <c r="S59" s="24">
        <f>+Q10+Q13+Q14</f>
        <v>2832</v>
      </c>
      <c r="T59" s="16">
        <f>+R7+R8+R9+R10+R11+R12+R13+R14+R15+R16+R17+R18+R19+R20+R21+R22+R23+R24+R25+R26+R29+R30+R31+R32+R34+R43+R45+R46+R47+R48+R49+R51</f>
        <v>625830</v>
      </c>
      <c r="U59" s="5"/>
    </row>
    <row r="60" spans="1:21" ht="24.75" thickBot="1">
      <c r="A60" s="119"/>
      <c r="B60" s="419"/>
      <c r="C60" s="420"/>
      <c r="D60" s="300"/>
      <c r="E60" s="187"/>
      <c r="F60" s="187"/>
      <c r="G60" s="188"/>
      <c r="H60" s="189" t="s">
        <v>147</v>
      </c>
      <c r="I60" s="69">
        <f>SUM(I58:I59)</f>
        <v>48</v>
      </c>
      <c r="J60" s="155" t="s">
        <v>142</v>
      </c>
      <c r="K60" s="154"/>
      <c r="L60" s="154"/>
      <c r="M60" s="307"/>
      <c r="P60" s="308">
        <f>SUM(P58:P59)</f>
        <v>772962</v>
      </c>
      <c r="Q60" s="308">
        <f>SUM(Q58:Q59)</f>
        <v>15149</v>
      </c>
      <c r="R60" s="308">
        <f>SUM(R58:R59)</f>
        <v>138799</v>
      </c>
      <c r="S60" s="309">
        <f>SUM(S58:S59)</f>
        <v>2832</v>
      </c>
      <c r="T60" s="308">
        <f>SUM(T58:T59)</f>
        <v>893780</v>
      </c>
    </row>
    <row r="61" spans="1:21" ht="24">
      <c r="A61" s="119"/>
      <c r="B61" s="311"/>
      <c r="C61" s="311"/>
      <c r="D61" s="311"/>
      <c r="H61" s="312"/>
      <c r="I61" s="313"/>
      <c r="J61" s="66"/>
      <c r="K61" s="154"/>
      <c r="L61" s="154"/>
      <c r="M61" s="307"/>
      <c r="P61" s="314"/>
      <c r="Q61" s="314"/>
      <c r="R61" s="314"/>
      <c r="S61" s="315"/>
      <c r="T61" s="314"/>
    </row>
    <row r="62" spans="1:21" ht="25.5">
      <c r="A62" s="119"/>
      <c r="B62" s="316"/>
      <c r="C62" s="317" t="s">
        <v>137</v>
      </c>
      <c r="D62" s="317"/>
      <c r="E62" s="317"/>
      <c r="F62" s="317"/>
      <c r="G62" s="318"/>
      <c r="H62" s="319"/>
      <c r="I62" s="320"/>
      <c r="J62" s="66"/>
      <c r="K62" s="154"/>
      <c r="L62" s="154"/>
      <c r="M62" s="307"/>
      <c r="P62" s="328" t="s">
        <v>205</v>
      </c>
      <c r="Q62" s="39">
        <f>+L54+L53+L52+L50+L44+L42+L41+L40+L39+L38+L37+L36+L35+L33+L28+L27</f>
        <v>8569.9399999999987</v>
      </c>
      <c r="R62" s="39">
        <v>3855.14</v>
      </c>
      <c r="S62" s="39">
        <f>+Q62-R62</f>
        <v>4714.7999999999993</v>
      </c>
      <c r="T62" s="314"/>
    </row>
    <row r="63" spans="1:21" ht="25.5">
      <c r="A63" s="119"/>
      <c r="B63" s="321">
        <v>1</v>
      </c>
      <c r="C63" s="322" t="s">
        <v>196</v>
      </c>
      <c r="D63" s="319" t="s">
        <v>197</v>
      </c>
      <c r="E63" s="321" t="s">
        <v>198</v>
      </c>
      <c r="F63" s="323">
        <v>242842</v>
      </c>
      <c r="G63" s="324"/>
      <c r="H63" s="324"/>
      <c r="I63" s="323"/>
      <c r="J63" s="66"/>
      <c r="K63" s="154"/>
      <c r="L63" s="154"/>
      <c r="M63" s="307"/>
      <c r="P63" s="329" t="s">
        <v>206</v>
      </c>
      <c r="Q63" s="306">
        <f>+L7+L8+L9+L10+L11+L12+L13+L14+L15+L16+L17+L18+L19+L20+L21+L22+L23+L24+L25+L26+L29+L30+L31+L32+L34+L43+L45+L46+L47+L48+L49+L51</f>
        <v>17140.060000000001</v>
      </c>
      <c r="R63" s="332">
        <v>7827.1</v>
      </c>
      <c r="S63" s="332">
        <f>+Q63-R63</f>
        <v>9312.9600000000009</v>
      </c>
      <c r="T63" s="314"/>
    </row>
    <row r="64" spans="1:21" ht="26.25" thickBot="1">
      <c r="A64" s="119"/>
      <c r="B64" s="321">
        <v>2</v>
      </c>
      <c r="C64" s="322" t="s">
        <v>199</v>
      </c>
      <c r="D64" s="321" t="s">
        <v>200</v>
      </c>
      <c r="E64" s="321" t="s">
        <v>198</v>
      </c>
      <c r="F64" s="323">
        <v>242842</v>
      </c>
      <c r="G64" s="324"/>
      <c r="H64" s="324"/>
      <c r="I64" s="323"/>
      <c r="J64" s="66"/>
      <c r="K64" s="154"/>
      <c r="L64" s="154"/>
      <c r="M64" s="307"/>
      <c r="P64" s="148"/>
      <c r="Q64" s="330">
        <f>SUM(Q62:Q63)</f>
        <v>25710</v>
      </c>
      <c r="R64" s="335">
        <f>SUM(R62:R63)</f>
        <v>11682.24</v>
      </c>
      <c r="S64" s="335">
        <f>SUM(S62:S63)</f>
        <v>14027.76</v>
      </c>
      <c r="T64" s="314"/>
    </row>
    <row r="65" spans="1:20" ht="26.25" thickTop="1">
      <c r="A65" s="119"/>
      <c r="B65" s="321">
        <v>3</v>
      </c>
      <c r="C65" s="325" t="s">
        <v>201</v>
      </c>
      <c r="D65" s="321" t="s">
        <v>202</v>
      </c>
      <c r="E65" s="321" t="s">
        <v>198</v>
      </c>
      <c r="F65" s="323">
        <v>242842</v>
      </c>
      <c r="G65" s="326" t="s">
        <v>203</v>
      </c>
      <c r="H65" s="324"/>
      <c r="I65" s="323"/>
      <c r="J65" s="66"/>
      <c r="K65" s="154"/>
      <c r="L65" s="154"/>
      <c r="M65" s="307"/>
      <c r="P65" s="314"/>
      <c r="Q65" s="314"/>
      <c r="R65" s="333">
        <v>1</v>
      </c>
      <c r="S65" s="334">
        <v>2</v>
      </c>
      <c r="T65" s="314"/>
    </row>
    <row r="67" spans="1:20" ht="65.25">
      <c r="C67" s="11" t="s">
        <v>167</v>
      </c>
      <c r="D67" s="11" t="s">
        <v>158</v>
      </c>
      <c r="E67" s="234" t="s">
        <v>180</v>
      </c>
      <c r="F67" s="234" t="s">
        <v>181</v>
      </c>
      <c r="G67" s="91" t="s">
        <v>150</v>
      </c>
      <c r="H67" s="234" t="s">
        <v>172</v>
      </c>
    </row>
    <row r="68" spans="1:20">
      <c r="C68" s="199" t="s">
        <v>178</v>
      </c>
      <c r="D68" s="197">
        <f>+G7+G12+G15+G16+G17+G18+G19+G22+G23+G24+G25+G26+G27+G28+G29+G32+G33+G35+G36+G37+G38+G39+G40+G41+G42+G43+G44+G46+G47+G48+G50</f>
        <v>499250</v>
      </c>
      <c r="E68" s="197">
        <f>+S7+S12+S15+S16+S17+S18+S19+S22+S23+S24+S25+S26+S27+S28+S29+S32+S33+S35+S36+S37+S38+S39+S40+S41+S42+S43+S44+S46+S47+S50+S48</f>
        <v>9505</v>
      </c>
      <c r="F68" s="197">
        <f>+P7+P12+P15+P16+P17+P18+P19+P22+P23+P24+P26+P27+P28+P29+P32+P25+P33+P35+P36+P37+P38+P39+P40+P41+P42+P43+P44+P46+P47+P48+P50</f>
        <v>9505</v>
      </c>
      <c r="G68" s="197">
        <v>0</v>
      </c>
      <c r="H68" s="197">
        <f>+E68+F68</f>
        <v>19010</v>
      </c>
    </row>
    <row r="69" spans="1:20">
      <c r="C69" s="191" t="s">
        <v>179</v>
      </c>
      <c r="D69" s="204">
        <f>+G8+G9+G10+G11+G13+G14+G20+G21+G30+G31+G34+G45+G49+G51</f>
        <v>251900</v>
      </c>
      <c r="E69" s="204">
        <f>+S8+S9+S10+S11+S13+S14+S20+S21+S30+S31+S34+S45+S49+S51</f>
        <v>5098</v>
      </c>
      <c r="F69" s="204">
        <f>+P8+P9+P10+P11+P13+P14+P20+P21+P30+P31+P34+P45+P49+P51</f>
        <v>5098</v>
      </c>
      <c r="G69" s="204">
        <f>+Q10+Q13+Q14</f>
        <v>2832</v>
      </c>
      <c r="H69" s="204">
        <f>+E69+F69</f>
        <v>10196</v>
      </c>
    </row>
    <row r="70" spans="1:20" ht="24">
      <c r="C70" s="195" t="s">
        <v>147</v>
      </c>
      <c r="D70" s="233">
        <f>SUM(D68:D69)</f>
        <v>751150</v>
      </c>
      <c r="E70" s="233">
        <f>SUM(E68:E69)</f>
        <v>14603</v>
      </c>
      <c r="F70" s="233">
        <f>SUM(F68:F69)</f>
        <v>14603</v>
      </c>
      <c r="G70" s="233">
        <f>SUM(G68:G69)</f>
        <v>2832</v>
      </c>
      <c r="H70" s="233">
        <f>SUM(H68:H69)</f>
        <v>29206</v>
      </c>
    </row>
  </sheetData>
  <mergeCells count="19"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N5:Q5"/>
    <mergeCell ref="R5:R6"/>
    <mergeCell ref="S5:S6"/>
    <mergeCell ref="A55:F55"/>
    <mergeCell ref="B60:C60"/>
    <mergeCell ref="K5:M5"/>
    <mergeCell ref="H5:H6"/>
    <mergeCell ref="I5:J5"/>
  </mergeCells>
  <printOptions horizontalCentered="1"/>
  <pageMargins left="3.937007874015748E-2" right="3.937007874015748E-2" top="0.15748031496062992" bottom="0.11811023622047245" header="0.19685039370078741" footer="7.874015748031496E-2"/>
  <pageSetup paperSize="9" scale="52" orientation="landscape" horizontalDpi="4294967293" r:id="rId1"/>
  <rowBreaks count="1" manualBreakCount="1">
    <brk id="36" max="19" man="1"/>
  </row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E4B5-463D-44B4-B5F2-A2CACE02BF7D}">
  <dimension ref="A1:U65"/>
  <sheetViews>
    <sheetView view="pageBreakPreview" zoomScale="90" zoomScaleNormal="90" zoomScaleSheetLayoutView="90" workbookViewId="0">
      <pane xSplit="7" ySplit="6" topLeftCell="H52" activePane="bottomRight" state="frozen"/>
      <selection pane="topRight" activeCell="G1" sqref="G1"/>
      <selection pane="bottomLeft" activeCell="A7" sqref="A7"/>
      <selection pane="bottomRight" activeCell="G63" sqref="G63"/>
    </sheetView>
  </sheetViews>
  <sheetFormatPr defaultColWidth="9" defaultRowHeight="21.75"/>
  <cols>
    <col min="1" max="1" width="9" style="120"/>
    <col min="2" max="2" width="20.140625" style="1" customWidth="1"/>
    <col min="3" max="3" width="17" style="1" customWidth="1"/>
    <col min="4" max="4" width="18.28515625" style="2" customWidth="1"/>
    <col min="5" max="5" width="15.85546875" style="1" bestFit="1" customWidth="1"/>
    <col min="6" max="6" width="13" style="1" hidden="1" customWidth="1"/>
    <col min="7" max="7" width="12.28515625" style="1" bestFit="1" customWidth="1"/>
    <col min="8" max="8" width="14.7109375" style="1" bestFit="1" customWidth="1"/>
    <col min="9" max="9" width="8.140625" style="1" bestFit="1" customWidth="1"/>
    <col min="10" max="10" width="7.5703125" style="1" bestFit="1" customWidth="1"/>
    <col min="11" max="11" width="4.28515625" style="1" hidden="1" customWidth="1"/>
    <col min="12" max="12" width="13.140625" style="1" hidden="1" customWidth="1"/>
    <col min="13" max="13" width="10" style="94" bestFit="1" customWidth="1"/>
    <col min="14" max="14" width="9.140625" style="1" hidden="1" customWidth="1"/>
    <col min="15" max="15" width="9" style="1" hidden="1" customWidth="1"/>
    <col min="16" max="16" width="12.7109375" style="1" bestFit="1" customWidth="1"/>
    <col min="17" max="17" width="13" style="168" bestFit="1" customWidth="1"/>
    <col min="18" max="18" width="10.42578125" style="1" bestFit="1" customWidth="1"/>
    <col min="19" max="19" width="12.42578125" style="76" bestFit="1" customWidth="1"/>
    <col min="20" max="20" width="19.5703125" style="1" bestFit="1" customWidth="1"/>
    <col min="21" max="16384" width="9" style="1"/>
  </cols>
  <sheetData>
    <row r="1" spans="1:20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>
      <c r="A3" s="381" t="s">
        <v>207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T4" s="9"/>
    </row>
    <row r="5" spans="1:20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50.25" customHeight="1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s="110" customFormat="1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14600</v>
      </c>
      <c r="H7" s="107"/>
      <c r="I7" s="107"/>
      <c r="J7" s="107"/>
      <c r="K7" s="107"/>
      <c r="L7" s="107"/>
      <c r="M7" s="103"/>
      <c r="N7" s="109"/>
      <c r="O7" s="103"/>
      <c r="P7" s="103">
        <f>ROUND(G7*5%,0)</f>
        <v>730</v>
      </c>
      <c r="Q7" s="98"/>
      <c r="R7" s="103">
        <f>SUM(G7+M7-P7-Q7)</f>
        <v>13870</v>
      </c>
      <c r="S7" s="116">
        <f>ROUND(G7*5%,0)</f>
        <v>730</v>
      </c>
      <c r="T7" s="100"/>
    </row>
    <row r="8" spans="1:20" s="110" customFormat="1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13500</v>
      </c>
      <c r="H8" s="107"/>
      <c r="I8" s="107"/>
      <c r="J8" s="107"/>
      <c r="K8" s="107"/>
      <c r="L8" s="107"/>
      <c r="M8" s="103"/>
      <c r="N8" s="109"/>
      <c r="O8" s="103"/>
      <c r="P8" s="103">
        <f>ROUND(G8*5%,0)</f>
        <v>675</v>
      </c>
      <c r="Q8" s="98"/>
      <c r="R8" s="103">
        <f t="shared" ref="R8:R54" si="0">SUM(G8+M8-P8-Q8)</f>
        <v>12825</v>
      </c>
      <c r="S8" s="116">
        <f>ROUND(G8*5%,0)</f>
        <v>675</v>
      </c>
      <c r="T8" s="100"/>
    </row>
    <row r="9" spans="1:20" s="110" customFormat="1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13400</v>
      </c>
      <c r="H9" s="107"/>
      <c r="I9" s="107"/>
      <c r="J9" s="107"/>
      <c r="K9" s="107"/>
      <c r="L9" s="107"/>
      <c r="M9" s="103"/>
      <c r="N9" s="109"/>
      <c r="O9" s="103"/>
      <c r="P9" s="103">
        <f>ROUND(G9*5%,0)</f>
        <v>670</v>
      </c>
      <c r="Q9" s="98"/>
      <c r="R9" s="103">
        <f t="shared" si="0"/>
        <v>12730</v>
      </c>
      <c r="S9" s="116">
        <f>ROUND(G9*5%,0)</f>
        <v>670</v>
      </c>
      <c r="T9" s="100"/>
    </row>
    <row r="10" spans="1:20" s="110" customFormat="1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16500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651</v>
      </c>
      <c r="R10" s="103">
        <f t="shared" si="0"/>
        <v>15099</v>
      </c>
      <c r="S10" s="116">
        <v>750</v>
      </c>
      <c r="T10" s="100"/>
    </row>
    <row r="11" spans="1:20" s="110" customFormat="1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17300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16550</v>
      </c>
      <c r="S11" s="116">
        <v>750</v>
      </c>
      <c r="T11" s="100"/>
    </row>
    <row r="12" spans="1:20" s="110" customFormat="1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19000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18250</v>
      </c>
      <c r="S12" s="116">
        <v>750</v>
      </c>
      <c r="T12" s="100"/>
    </row>
    <row r="13" spans="1:20" s="110" customFormat="1">
      <c r="A13" s="117">
        <v>7</v>
      </c>
      <c r="B13" s="106" t="s">
        <v>38</v>
      </c>
      <c r="C13" s="107" t="s">
        <v>39</v>
      </c>
      <c r="D13" s="107" t="s">
        <v>39</v>
      </c>
      <c r="E13" s="107" t="s">
        <v>32</v>
      </c>
      <c r="F13" s="193" t="s">
        <v>169</v>
      </c>
      <c r="G13" s="103">
        <v>25000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1476</v>
      </c>
      <c r="R13" s="103">
        <f t="shared" si="0"/>
        <v>22774</v>
      </c>
      <c r="S13" s="116">
        <v>750</v>
      </c>
      <c r="T13" s="100"/>
    </row>
    <row r="14" spans="1:20" s="110" customFormat="1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93" t="s">
        <v>169</v>
      </c>
      <c r="G14" s="103">
        <v>20500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>
        <v>705</v>
      </c>
      <c r="R14" s="103">
        <f t="shared" si="0"/>
        <v>19045</v>
      </c>
      <c r="S14" s="116">
        <v>750</v>
      </c>
      <c r="T14" s="100"/>
    </row>
    <row r="15" spans="1:20" s="110" customFormat="1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98" t="s">
        <v>168</v>
      </c>
      <c r="G15" s="103">
        <v>25000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24250</v>
      </c>
      <c r="S15" s="116">
        <v>750</v>
      </c>
      <c r="T15" s="100"/>
    </row>
    <row r="16" spans="1:20" s="110" customFormat="1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98" t="s">
        <v>168</v>
      </c>
      <c r="G16" s="103">
        <v>19700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18950</v>
      </c>
      <c r="S16" s="116">
        <v>750</v>
      </c>
      <c r="T16" s="100"/>
    </row>
    <row r="17" spans="1:20" s="110" customFormat="1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98" t="s">
        <v>168</v>
      </c>
      <c r="G17" s="103">
        <v>17600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16850</v>
      </c>
      <c r="S17" s="116">
        <v>750</v>
      </c>
      <c r="T17" s="100"/>
    </row>
    <row r="18" spans="1:20" s="110" customFormat="1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98" t="s">
        <v>168</v>
      </c>
      <c r="G18" s="103">
        <v>25000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24250</v>
      </c>
      <c r="S18" s="116">
        <v>750</v>
      </c>
      <c r="T18" s="100"/>
    </row>
    <row r="19" spans="1:20" s="110" customFormat="1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98" t="s">
        <v>168</v>
      </c>
      <c r="G19" s="103">
        <v>22700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21950</v>
      </c>
      <c r="S19" s="116">
        <v>750</v>
      </c>
      <c r="T19" s="100"/>
    </row>
    <row r="20" spans="1:20" s="110" customFormat="1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93" t="s">
        <v>169</v>
      </c>
      <c r="G20" s="103">
        <v>23500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22750</v>
      </c>
      <c r="S20" s="116">
        <v>750</v>
      </c>
      <c r="T20" s="100"/>
    </row>
    <row r="21" spans="1:20" s="110" customFormat="1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93" t="s">
        <v>169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v>750</v>
      </c>
      <c r="T21" s="100"/>
    </row>
    <row r="22" spans="1:20" s="110" customFormat="1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v>750</v>
      </c>
      <c r="T22" s="100"/>
    </row>
    <row r="23" spans="1:20" s="110" customFormat="1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v>750</v>
      </c>
      <c r="T23" s="100"/>
    </row>
    <row r="24" spans="1:20" s="110" customFormat="1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v>750</v>
      </c>
      <c r="T24" s="100"/>
    </row>
    <row r="25" spans="1:20" s="110" customFormat="1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v>750</v>
      </c>
      <c r="T25" s="100"/>
    </row>
    <row r="26" spans="1:20" s="110" customFormat="1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98" t="s">
        <v>168</v>
      </c>
      <c r="G26" s="103">
        <v>25000</v>
      </c>
      <c r="H26" s="107"/>
      <c r="I26" s="107"/>
      <c r="J26" s="107"/>
      <c r="K26" s="107"/>
      <c r="L26" s="107"/>
      <c r="M26" s="103"/>
      <c r="N26" s="109"/>
      <c r="O26" s="103"/>
      <c r="P26" s="103">
        <v>750</v>
      </c>
      <c r="Q26" s="98"/>
      <c r="R26" s="103">
        <f t="shared" si="0"/>
        <v>24250</v>
      </c>
      <c r="S26" s="116">
        <v>750</v>
      </c>
      <c r="T26" s="100"/>
    </row>
    <row r="27" spans="1:20" s="129" customFormat="1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24" t="s">
        <v>168</v>
      </c>
      <c r="G27" s="124">
        <f>+I27*J27</f>
        <v>10400</v>
      </c>
      <c r="H27" s="123"/>
      <c r="I27" s="123">
        <v>400</v>
      </c>
      <c r="J27" s="123">
        <v>26</v>
      </c>
      <c r="K27" s="123"/>
      <c r="L27" s="123"/>
      <c r="M27" s="124"/>
      <c r="N27" s="126"/>
      <c r="O27" s="124"/>
      <c r="P27" s="124">
        <f>ROUND(G27*5%,0)</f>
        <v>520</v>
      </c>
      <c r="Q27" s="135"/>
      <c r="R27" s="124">
        <f t="shared" si="0"/>
        <v>9880</v>
      </c>
      <c r="S27" s="128">
        <f>ROUND(G27*5%,0)</f>
        <v>520</v>
      </c>
      <c r="T27" s="124"/>
    </row>
    <row r="28" spans="1:20" s="129" customFormat="1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24" t="s">
        <v>168</v>
      </c>
      <c r="G28" s="124">
        <f>+I28*J28</f>
        <v>9000</v>
      </c>
      <c r="H28" s="123"/>
      <c r="I28" s="123">
        <v>360</v>
      </c>
      <c r="J28" s="123">
        <v>25</v>
      </c>
      <c r="K28" s="123"/>
      <c r="L28" s="123"/>
      <c r="M28" s="124">
        <v>13943</v>
      </c>
      <c r="N28" s="126"/>
      <c r="O28" s="124"/>
      <c r="P28" s="124">
        <f>ROUND(G28*5%,0)</f>
        <v>450</v>
      </c>
      <c r="Q28" s="135"/>
      <c r="R28" s="124">
        <f t="shared" si="0"/>
        <v>22493</v>
      </c>
      <c r="S28" s="128">
        <f>ROUND(G28*5%,0)</f>
        <v>450</v>
      </c>
      <c r="T28" s="124"/>
    </row>
    <row r="29" spans="1:20" s="110" customFormat="1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98" t="s">
        <v>168</v>
      </c>
      <c r="G29" s="103">
        <v>25000</v>
      </c>
      <c r="H29" s="107"/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24250</v>
      </c>
      <c r="S29" s="98">
        <v>750</v>
      </c>
      <c r="T29" s="100"/>
    </row>
    <row r="30" spans="1:20" s="110" customFormat="1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93" t="s">
        <v>169</v>
      </c>
      <c r="G30" s="103">
        <v>15500</v>
      </c>
      <c r="H30" s="113" t="s">
        <v>80</v>
      </c>
      <c r="I30" s="107"/>
      <c r="J30" s="107"/>
      <c r="K30" s="107"/>
      <c r="L30" s="107"/>
      <c r="M30" s="103"/>
      <c r="N30" s="109"/>
      <c r="O30" s="103"/>
      <c r="P30" s="103">
        <v>750</v>
      </c>
      <c r="Q30" s="98"/>
      <c r="R30" s="103">
        <f t="shared" si="0"/>
        <v>14750</v>
      </c>
      <c r="S30" s="116">
        <v>750</v>
      </c>
      <c r="T30" s="100"/>
    </row>
    <row r="31" spans="1:20" s="114" customFormat="1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261" t="s">
        <v>169</v>
      </c>
      <c r="G31" s="98">
        <v>15500</v>
      </c>
      <c r="H31" s="113" t="s">
        <v>83</v>
      </c>
      <c r="I31" s="95"/>
      <c r="J31" s="95"/>
      <c r="K31" s="95"/>
      <c r="L31" s="107"/>
      <c r="M31" s="98"/>
      <c r="N31" s="109"/>
      <c r="O31" s="103"/>
      <c r="P31" s="103">
        <v>750</v>
      </c>
      <c r="Q31" s="98"/>
      <c r="R31" s="103">
        <f t="shared" si="0"/>
        <v>14750</v>
      </c>
      <c r="S31" s="116">
        <v>750</v>
      </c>
      <c r="T31" s="100"/>
    </row>
    <row r="32" spans="1:20" s="110" customFormat="1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98" t="s">
        <v>168</v>
      </c>
      <c r="G32" s="103">
        <v>25000</v>
      </c>
      <c r="H32" s="108" t="s">
        <v>88</v>
      </c>
      <c r="I32" s="107"/>
      <c r="J32" s="107"/>
      <c r="K32" s="107"/>
      <c r="L32" s="107"/>
      <c r="M32" s="103"/>
      <c r="N32" s="109"/>
      <c r="O32" s="103"/>
      <c r="P32" s="103">
        <v>750</v>
      </c>
      <c r="Q32" s="98"/>
      <c r="R32" s="103">
        <f t="shared" si="0"/>
        <v>24250</v>
      </c>
      <c r="S32" s="116">
        <v>750</v>
      </c>
      <c r="T32" s="102"/>
    </row>
    <row r="33" spans="1:20" s="129" customFormat="1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24" t="s">
        <v>168</v>
      </c>
      <c r="G33" s="124">
        <f>+I33*J33</f>
        <v>8740</v>
      </c>
      <c r="H33" s="125" t="s">
        <v>88</v>
      </c>
      <c r="I33" s="123">
        <v>380</v>
      </c>
      <c r="J33" s="123">
        <v>23</v>
      </c>
      <c r="K33" s="123"/>
      <c r="L33" s="123"/>
      <c r="M33" s="124"/>
      <c r="N33" s="126"/>
      <c r="O33" s="124"/>
      <c r="P33" s="124">
        <f>ROUND(G33*5%,0)</f>
        <v>437</v>
      </c>
      <c r="Q33" s="135"/>
      <c r="R33" s="124">
        <f t="shared" si="0"/>
        <v>8303</v>
      </c>
      <c r="S33" s="128">
        <f>ROUND(G33*5%,0)</f>
        <v>437</v>
      </c>
      <c r="T33" s="127"/>
    </row>
    <row r="34" spans="1:20" s="110" customFormat="1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93" t="s">
        <v>169</v>
      </c>
      <c r="G34" s="103">
        <v>16200</v>
      </c>
      <c r="H34" s="108" t="s">
        <v>93</v>
      </c>
      <c r="I34" s="107"/>
      <c r="J34" s="107"/>
      <c r="K34" s="107"/>
      <c r="L34" s="107"/>
      <c r="M34" s="103"/>
      <c r="N34" s="109"/>
      <c r="O34" s="103"/>
      <c r="P34" s="103">
        <v>750</v>
      </c>
      <c r="Q34" s="98"/>
      <c r="R34" s="103">
        <f t="shared" si="0"/>
        <v>15450</v>
      </c>
      <c r="S34" s="116">
        <v>750</v>
      </c>
      <c r="T34" s="100"/>
    </row>
    <row r="35" spans="1:20" s="129" customFormat="1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24" t="s">
        <v>168</v>
      </c>
      <c r="G35" s="124">
        <f>I35*J35</f>
        <v>8580</v>
      </c>
      <c r="H35" s="125" t="s">
        <v>96</v>
      </c>
      <c r="I35" s="123">
        <v>330</v>
      </c>
      <c r="J35" s="123">
        <v>26</v>
      </c>
      <c r="K35" s="123"/>
      <c r="L35" s="123"/>
      <c r="M35" s="124">
        <v>16375</v>
      </c>
      <c r="N35" s="126"/>
      <c r="O35" s="124"/>
      <c r="P35" s="124">
        <f t="shared" ref="P35:P42" si="1">ROUND(G35*5%,0)</f>
        <v>429</v>
      </c>
      <c r="Q35" s="135"/>
      <c r="R35" s="124">
        <f t="shared" si="0"/>
        <v>24526</v>
      </c>
      <c r="S35" s="128">
        <f t="shared" ref="S35:S42" si="2">ROUND(G35*5%,0)</f>
        <v>429</v>
      </c>
      <c r="T35" s="127"/>
    </row>
    <row r="36" spans="1:20" s="129" customFormat="1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24" t="s">
        <v>168</v>
      </c>
      <c r="G36" s="124">
        <f t="shared" ref="G36:G42" si="3">I36*J36</f>
        <v>8580</v>
      </c>
      <c r="H36" s="125" t="s">
        <v>96</v>
      </c>
      <c r="I36" s="123">
        <v>330</v>
      </c>
      <c r="J36" s="123">
        <v>26</v>
      </c>
      <c r="K36" s="123"/>
      <c r="L36" s="123"/>
      <c r="M36" s="124">
        <v>16375</v>
      </c>
      <c r="N36" s="126"/>
      <c r="O36" s="124"/>
      <c r="P36" s="124">
        <f t="shared" si="1"/>
        <v>429</v>
      </c>
      <c r="Q36" s="135"/>
      <c r="R36" s="124">
        <f t="shared" si="0"/>
        <v>24526</v>
      </c>
      <c r="S36" s="128">
        <f t="shared" si="2"/>
        <v>429</v>
      </c>
      <c r="T36" s="127"/>
    </row>
    <row r="37" spans="1:20" s="129" customFormat="1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24" t="s">
        <v>168</v>
      </c>
      <c r="G37" s="124">
        <f t="shared" si="3"/>
        <v>8250</v>
      </c>
      <c r="H37" s="125" t="s">
        <v>96</v>
      </c>
      <c r="I37" s="123">
        <v>330</v>
      </c>
      <c r="J37" s="123">
        <v>25</v>
      </c>
      <c r="K37" s="123"/>
      <c r="L37" s="123"/>
      <c r="M37" s="124">
        <v>13943</v>
      </c>
      <c r="N37" s="126"/>
      <c r="O37" s="124"/>
      <c r="P37" s="124">
        <f t="shared" si="1"/>
        <v>413</v>
      </c>
      <c r="Q37" s="135"/>
      <c r="R37" s="124">
        <f t="shared" si="0"/>
        <v>21780</v>
      </c>
      <c r="S37" s="128">
        <f t="shared" si="2"/>
        <v>413</v>
      </c>
      <c r="T37" s="124"/>
    </row>
    <row r="38" spans="1:20" s="129" customFormat="1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24" t="s">
        <v>168</v>
      </c>
      <c r="G38" s="124">
        <f t="shared" si="3"/>
        <v>8580</v>
      </c>
      <c r="H38" s="125" t="s">
        <v>96</v>
      </c>
      <c r="I38" s="123">
        <v>330</v>
      </c>
      <c r="J38" s="123">
        <v>26</v>
      </c>
      <c r="K38" s="123"/>
      <c r="L38" s="123"/>
      <c r="M38" s="124">
        <v>16375</v>
      </c>
      <c r="N38" s="126"/>
      <c r="O38" s="124"/>
      <c r="P38" s="124">
        <f t="shared" si="1"/>
        <v>429</v>
      </c>
      <c r="Q38" s="135"/>
      <c r="R38" s="124">
        <f t="shared" si="0"/>
        <v>24526</v>
      </c>
      <c r="S38" s="128">
        <f t="shared" si="2"/>
        <v>429</v>
      </c>
      <c r="T38" s="124"/>
    </row>
    <row r="39" spans="1:20" s="136" customFormat="1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24" t="s">
        <v>168</v>
      </c>
      <c r="G39" s="124">
        <f t="shared" si="3"/>
        <v>10400</v>
      </c>
      <c r="H39" s="133" t="s">
        <v>107</v>
      </c>
      <c r="I39" s="132">
        <v>400</v>
      </c>
      <c r="J39" s="132">
        <v>26</v>
      </c>
      <c r="K39" s="132"/>
      <c r="L39" s="123"/>
      <c r="M39" s="135"/>
      <c r="N39" s="134"/>
      <c r="O39" s="135"/>
      <c r="P39" s="124">
        <f t="shared" si="1"/>
        <v>520</v>
      </c>
      <c r="Q39" s="135"/>
      <c r="R39" s="124">
        <f t="shared" si="0"/>
        <v>9880</v>
      </c>
      <c r="S39" s="128">
        <f t="shared" si="2"/>
        <v>520</v>
      </c>
      <c r="T39" s="124"/>
    </row>
    <row r="40" spans="1:20" s="147" customFormat="1">
      <c r="A40" s="158">
        <v>34</v>
      </c>
      <c r="B40" s="336" t="s">
        <v>110</v>
      </c>
      <c r="C40" s="160">
        <v>6016300837717</v>
      </c>
      <c r="D40" s="160">
        <v>991019747856</v>
      </c>
      <c r="E40" s="139" t="s">
        <v>95</v>
      </c>
      <c r="F40" s="127" t="s">
        <v>168</v>
      </c>
      <c r="G40" s="127">
        <f t="shared" si="3"/>
        <v>8580</v>
      </c>
      <c r="H40" s="161" t="s">
        <v>111</v>
      </c>
      <c r="I40" s="139">
        <v>330</v>
      </c>
      <c r="J40" s="139">
        <v>26</v>
      </c>
      <c r="K40" s="139"/>
      <c r="L40" s="139"/>
      <c r="M40" s="127"/>
      <c r="N40" s="162"/>
      <c r="O40" s="127"/>
      <c r="P40" s="127">
        <f t="shared" si="1"/>
        <v>429</v>
      </c>
      <c r="Q40" s="127"/>
      <c r="R40" s="127">
        <f t="shared" si="0"/>
        <v>8151</v>
      </c>
      <c r="S40" s="157">
        <f t="shared" si="2"/>
        <v>429</v>
      </c>
      <c r="T40" s="127" t="s">
        <v>208</v>
      </c>
    </row>
    <row r="41" spans="1:20" s="136" customFormat="1">
      <c r="A41" s="121">
        <v>35</v>
      </c>
      <c r="B41" s="131" t="s">
        <v>112</v>
      </c>
      <c r="C41" s="137">
        <v>6016300837709</v>
      </c>
      <c r="D41" s="137">
        <v>991019747724</v>
      </c>
      <c r="E41" s="132" t="s">
        <v>95</v>
      </c>
      <c r="F41" s="124" t="s">
        <v>168</v>
      </c>
      <c r="G41" s="124">
        <f t="shared" si="3"/>
        <v>8580</v>
      </c>
      <c r="H41" s="133" t="s">
        <v>111</v>
      </c>
      <c r="I41" s="132">
        <v>330</v>
      </c>
      <c r="J41" s="132">
        <v>26</v>
      </c>
      <c r="K41" s="132"/>
      <c r="L41" s="132"/>
      <c r="M41" s="135">
        <v>16375</v>
      </c>
      <c r="N41" s="134"/>
      <c r="O41" s="135"/>
      <c r="P41" s="124">
        <f t="shared" si="1"/>
        <v>429</v>
      </c>
      <c r="Q41" s="135"/>
      <c r="R41" s="124">
        <f t="shared" si="0"/>
        <v>24526</v>
      </c>
      <c r="S41" s="128">
        <f t="shared" si="2"/>
        <v>429</v>
      </c>
      <c r="T41" s="124"/>
    </row>
    <row r="42" spans="1:20" s="147" customFormat="1">
      <c r="A42" s="158">
        <v>36</v>
      </c>
      <c r="B42" s="336" t="s">
        <v>113</v>
      </c>
      <c r="C42" s="160">
        <v>6016300837750</v>
      </c>
      <c r="D42" s="160">
        <v>991019747686</v>
      </c>
      <c r="E42" s="139" t="s">
        <v>95</v>
      </c>
      <c r="F42" s="127" t="s">
        <v>168</v>
      </c>
      <c r="G42" s="127">
        <f t="shared" si="3"/>
        <v>8580</v>
      </c>
      <c r="H42" s="161" t="s">
        <v>111</v>
      </c>
      <c r="I42" s="139">
        <v>330</v>
      </c>
      <c r="J42" s="139">
        <v>26</v>
      </c>
      <c r="K42" s="139"/>
      <c r="L42" s="139"/>
      <c r="M42" s="127"/>
      <c r="N42" s="162"/>
      <c r="O42" s="127"/>
      <c r="P42" s="127">
        <f t="shared" si="1"/>
        <v>429</v>
      </c>
      <c r="Q42" s="127"/>
      <c r="R42" s="127">
        <f t="shared" si="0"/>
        <v>8151</v>
      </c>
      <c r="S42" s="157">
        <f t="shared" si="2"/>
        <v>429</v>
      </c>
      <c r="T42" s="139" t="s">
        <v>208</v>
      </c>
    </row>
    <row r="43" spans="1:20" s="110" customFormat="1">
      <c r="A43" s="117">
        <v>37</v>
      </c>
      <c r="B43" s="106" t="s">
        <v>100</v>
      </c>
      <c r="C43" s="111">
        <v>1101500149087</v>
      </c>
      <c r="D43" s="97">
        <v>1101500149087</v>
      </c>
      <c r="E43" s="107" t="s">
        <v>44</v>
      </c>
      <c r="F43" s="198" t="s">
        <v>168</v>
      </c>
      <c r="G43" s="103">
        <v>25000</v>
      </c>
      <c r="H43" s="112" t="s">
        <v>101</v>
      </c>
      <c r="I43" s="107"/>
      <c r="J43" s="107"/>
      <c r="K43" s="107"/>
      <c r="L43" s="107"/>
      <c r="M43" s="103"/>
      <c r="N43" s="109"/>
      <c r="O43" s="103"/>
      <c r="P43" s="103">
        <v>750</v>
      </c>
      <c r="Q43" s="98"/>
      <c r="R43" s="103">
        <f t="shared" si="0"/>
        <v>24250</v>
      </c>
      <c r="S43" s="116">
        <v>750</v>
      </c>
      <c r="T43" s="100"/>
    </row>
    <row r="44" spans="1:20" s="129" customFormat="1">
      <c r="A44" s="121">
        <v>38</v>
      </c>
      <c r="B44" s="122" t="s">
        <v>102</v>
      </c>
      <c r="C44" s="130">
        <v>6016201374921</v>
      </c>
      <c r="D44" s="137">
        <v>991017408884</v>
      </c>
      <c r="E44" s="123" t="s">
        <v>95</v>
      </c>
      <c r="F44" s="124" t="s">
        <v>168</v>
      </c>
      <c r="G44" s="124">
        <f>+I44*J44</f>
        <v>8580</v>
      </c>
      <c r="H44" s="138" t="s">
        <v>106</v>
      </c>
      <c r="I44" s="123">
        <v>330</v>
      </c>
      <c r="J44" s="123">
        <v>26</v>
      </c>
      <c r="K44" s="123"/>
      <c r="L44" s="123"/>
      <c r="M44" s="124">
        <v>16375</v>
      </c>
      <c r="N44" s="126"/>
      <c r="O44" s="124"/>
      <c r="P44" s="124">
        <f>ROUND(G44*5%,0)</f>
        <v>429</v>
      </c>
      <c r="Q44" s="135"/>
      <c r="R44" s="124">
        <f t="shared" si="0"/>
        <v>24526</v>
      </c>
      <c r="S44" s="128">
        <f>ROUND(G44*5%,0)</f>
        <v>429</v>
      </c>
      <c r="T44" s="139"/>
    </row>
    <row r="45" spans="1:20" s="105" customFormat="1">
      <c r="A45" s="117">
        <v>39</v>
      </c>
      <c r="B45" s="96" t="s">
        <v>114</v>
      </c>
      <c r="C45" s="97">
        <v>1419900221235</v>
      </c>
      <c r="D45" s="97">
        <v>1419900221235</v>
      </c>
      <c r="E45" s="95" t="s">
        <v>32</v>
      </c>
      <c r="F45" s="261" t="s">
        <v>169</v>
      </c>
      <c r="G45" s="98">
        <v>12000</v>
      </c>
      <c r="H45" s="99" t="s">
        <v>115</v>
      </c>
      <c r="I45" s="100"/>
      <c r="J45" s="100"/>
      <c r="K45" s="100"/>
      <c r="L45" s="107"/>
      <c r="M45" s="102"/>
      <c r="N45" s="101"/>
      <c r="O45" s="102"/>
      <c r="P45" s="103">
        <f>ROUND(G45*5%,0)</f>
        <v>600</v>
      </c>
      <c r="Q45" s="98"/>
      <c r="R45" s="103">
        <f t="shared" si="0"/>
        <v>11400</v>
      </c>
      <c r="S45" s="116">
        <f>ROUND(G45*5%,0)</f>
        <v>600</v>
      </c>
      <c r="T45" s="100"/>
    </row>
    <row r="46" spans="1:20" s="114" customFormat="1">
      <c r="A46" s="117">
        <v>40</v>
      </c>
      <c r="B46" s="96" t="s">
        <v>118</v>
      </c>
      <c r="C46" s="97">
        <v>1229900643638</v>
      </c>
      <c r="D46" s="97">
        <v>1229900643638</v>
      </c>
      <c r="E46" s="95" t="s">
        <v>44</v>
      </c>
      <c r="F46" s="248" t="s">
        <v>168</v>
      </c>
      <c r="G46" s="98">
        <v>15000</v>
      </c>
      <c r="H46" s="99" t="s">
        <v>119</v>
      </c>
      <c r="I46" s="95"/>
      <c r="J46" s="95"/>
      <c r="K46" s="95"/>
      <c r="L46" s="107"/>
      <c r="M46" s="98"/>
      <c r="N46" s="115"/>
      <c r="O46" s="98"/>
      <c r="P46" s="103">
        <f>ROUND(G46*5%,0)</f>
        <v>750</v>
      </c>
      <c r="Q46" s="98"/>
      <c r="R46" s="103">
        <f t="shared" si="0"/>
        <v>14250</v>
      </c>
      <c r="S46" s="116">
        <v>750</v>
      </c>
      <c r="T46" s="95"/>
    </row>
    <row r="47" spans="1:20" s="114" customFormat="1">
      <c r="A47" s="117">
        <v>41</v>
      </c>
      <c r="B47" s="96" t="s">
        <v>120</v>
      </c>
      <c r="C47" s="97">
        <v>3402000037896</v>
      </c>
      <c r="D47" s="97">
        <v>3402000037896</v>
      </c>
      <c r="E47" s="95" t="s">
        <v>44</v>
      </c>
      <c r="F47" s="248" t="s">
        <v>168</v>
      </c>
      <c r="G47" s="98">
        <v>15000</v>
      </c>
      <c r="H47" s="99" t="s">
        <v>119</v>
      </c>
      <c r="I47" s="95"/>
      <c r="J47" s="95"/>
      <c r="K47" s="95"/>
      <c r="L47" s="107"/>
      <c r="M47" s="98"/>
      <c r="N47" s="115"/>
      <c r="O47" s="98"/>
      <c r="P47" s="103">
        <f t="shared" ref="P47:P49" si="4">ROUND(G47*5%,0)</f>
        <v>750</v>
      </c>
      <c r="Q47" s="98"/>
      <c r="R47" s="103">
        <f t="shared" si="0"/>
        <v>14250</v>
      </c>
      <c r="S47" s="116">
        <v>750</v>
      </c>
      <c r="T47" s="95"/>
    </row>
    <row r="48" spans="1:20" s="114" customFormat="1">
      <c r="A48" s="117">
        <v>42</v>
      </c>
      <c r="B48" s="96" t="s">
        <v>121</v>
      </c>
      <c r="C48" s="97">
        <v>3341600658671</v>
      </c>
      <c r="D48" s="97">
        <v>3341600658671</v>
      </c>
      <c r="E48" s="95" t="s">
        <v>44</v>
      </c>
      <c r="F48" s="248" t="s">
        <v>168</v>
      </c>
      <c r="G48" s="98">
        <v>15000</v>
      </c>
      <c r="H48" s="99" t="s">
        <v>119</v>
      </c>
      <c r="I48" s="95"/>
      <c r="J48" s="95"/>
      <c r="K48" s="95"/>
      <c r="L48" s="107"/>
      <c r="M48" s="98"/>
      <c r="N48" s="115"/>
      <c r="O48" s="98"/>
      <c r="P48" s="103">
        <f t="shared" si="4"/>
        <v>750</v>
      </c>
      <c r="Q48" s="98"/>
      <c r="R48" s="103">
        <f t="shared" si="0"/>
        <v>14250</v>
      </c>
      <c r="S48" s="116">
        <v>750</v>
      </c>
      <c r="T48" s="95"/>
    </row>
    <row r="49" spans="1:21" s="114" customFormat="1">
      <c r="A49" s="117">
        <v>43</v>
      </c>
      <c r="B49" s="96" t="s">
        <v>122</v>
      </c>
      <c r="C49" s="97">
        <v>3930100204585</v>
      </c>
      <c r="D49" s="97">
        <v>3930100204585</v>
      </c>
      <c r="E49" s="95" t="s">
        <v>19</v>
      </c>
      <c r="F49" s="261" t="s">
        <v>169</v>
      </c>
      <c r="G49" s="98">
        <v>15000</v>
      </c>
      <c r="H49" s="99" t="s">
        <v>119</v>
      </c>
      <c r="I49" s="95"/>
      <c r="J49" s="95"/>
      <c r="K49" s="95"/>
      <c r="L49" s="107"/>
      <c r="M49" s="98"/>
      <c r="N49" s="115"/>
      <c r="O49" s="98"/>
      <c r="P49" s="103">
        <f t="shared" si="4"/>
        <v>750</v>
      </c>
      <c r="Q49" s="98"/>
      <c r="R49" s="103">
        <f t="shared" si="0"/>
        <v>14250</v>
      </c>
      <c r="S49" s="116">
        <v>750</v>
      </c>
      <c r="T49" s="95"/>
    </row>
    <row r="50" spans="1:21" s="147" customFormat="1">
      <c r="A50" s="121">
        <v>44</v>
      </c>
      <c r="B50" s="141" t="s">
        <v>138</v>
      </c>
      <c r="C50" s="142">
        <v>1461000135963</v>
      </c>
      <c r="D50" s="137">
        <v>1461000135963</v>
      </c>
      <c r="E50" s="143" t="s">
        <v>95</v>
      </c>
      <c r="F50" s="128" t="s">
        <v>168</v>
      </c>
      <c r="G50" s="128">
        <f>I50*J50</f>
        <v>8750</v>
      </c>
      <c r="H50" s="144" t="s">
        <v>139</v>
      </c>
      <c r="I50" s="143">
        <v>350</v>
      </c>
      <c r="J50" s="143">
        <v>25</v>
      </c>
      <c r="K50" s="143"/>
      <c r="L50" s="123"/>
      <c r="M50" s="128">
        <v>13943</v>
      </c>
      <c r="N50" s="145"/>
      <c r="O50" s="128"/>
      <c r="P50" s="124">
        <f>ROUND(G50*5%,0)</f>
        <v>438</v>
      </c>
      <c r="Q50" s="128"/>
      <c r="R50" s="124">
        <f t="shared" si="0"/>
        <v>22255</v>
      </c>
      <c r="S50" s="128">
        <f>ROUND(G50*5%,0)</f>
        <v>438</v>
      </c>
      <c r="T50" s="139"/>
    </row>
    <row r="51" spans="1:21" s="105" customFormat="1">
      <c r="A51" s="117">
        <v>45</v>
      </c>
      <c r="B51" s="180" t="s">
        <v>163</v>
      </c>
      <c r="C51" s="181">
        <v>6016100144033</v>
      </c>
      <c r="D51" s="97">
        <v>239989001934</v>
      </c>
      <c r="E51" s="182" t="s">
        <v>32</v>
      </c>
      <c r="F51" s="256" t="s">
        <v>169</v>
      </c>
      <c r="G51" s="116">
        <v>23000</v>
      </c>
      <c r="H51" s="99" t="s">
        <v>164</v>
      </c>
      <c r="I51" s="95"/>
      <c r="J51" s="95"/>
      <c r="K51" s="183"/>
      <c r="L51" s="107"/>
      <c r="M51" s="185"/>
      <c r="N51" s="184"/>
      <c r="O51" s="185"/>
      <c r="P51" s="103">
        <v>750</v>
      </c>
      <c r="Q51" s="116"/>
      <c r="R51" s="103">
        <f t="shared" si="0"/>
        <v>22250</v>
      </c>
      <c r="S51" s="116">
        <v>750</v>
      </c>
      <c r="T51" s="100"/>
    </row>
    <row r="52" spans="1:21" s="147" customFormat="1">
      <c r="A52" s="121">
        <v>46</v>
      </c>
      <c r="B52" s="141" t="s">
        <v>191</v>
      </c>
      <c r="C52" s="137">
        <v>3220400075728</v>
      </c>
      <c r="D52" s="142">
        <v>3220400075728</v>
      </c>
      <c r="E52" s="143" t="s">
        <v>72</v>
      </c>
      <c r="F52" s="128" t="s">
        <v>168</v>
      </c>
      <c r="G52" s="128">
        <f>I52*J52</f>
        <v>9400</v>
      </c>
      <c r="H52" s="144" t="s">
        <v>194</v>
      </c>
      <c r="I52" s="143">
        <v>400</v>
      </c>
      <c r="J52" s="143">
        <v>23.5</v>
      </c>
      <c r="K52" s="143"/>
      <c r="L52" s="123"/>
      <c r="M52" s="128">
        <v>0</v>
      </c>
      <c r="N52" s="145"/>
      <c r="O52" s="128"/>
      <c r="P52" s="124">
        <f>ROUND(G52*5%,0)</f>
        <v>470</v>
      </c>
      <c r="Q52" s="128"/>
      <c r="R52" s="124">
        <f t="shared" si="0"/>
        <v>8930</v>
      </c>
      <c r="S52" s="128">
        <f>ROUND(G52*5%,0)</f>
        <v>470</v>
      </c>
      <c r="T52" s="139"/>
    </row>
    <row r="53" spans="1:21" s="147" customFormat="1">
      <c r="A53" s="121">
        <v>47</v>
      </c>
      <c r="B53" s="141" t="s">
        <v>192</v>
      </c>
      <c r="C53" s="137">
        <v>1499900366870</v>
      </c>
      <c r="D53" s="142">
        <v>1499900366870</v>
      </c>
      <c r="E53" s="143" t="s">
        <v>72</v>
      </c>
      <c r="F53" s="128" t="s">
        <v>168</v>
      </c>
      <c r="G53" s="128">
        <f>I53*J53</f>
        <v>8125</v>
      </c>
      <c r="H53" s="144" t="s">
        <v>194</v>
      </c>
      <c r="I53" s="143">
        <v>325</v>
      </c>
      <c r="J53" s="143">
        <v>25</v>
      </c>
      <c r="K53" s="143"/>
      <c r="L53" s="123"/>
      <c r="M53" s="128">
        <v>0</v>
      </c>
      <c r="N53" s="145"/>
      <c r="O53" s="128"/>
      <c r="P53" s="124">
        <f>ROUND(G53*5%,0)</f>
        <v>406</v>
      </c>
      <c r="Q53" s="128"/>
      <c r="R53" s="124">
        <f t="shared" si="0"/>
        <v>7719</v>
      </c>
      <c r="S53" s="128">
        <f>ROUND(G53*5%,0)</f>
        <v>406</v>
      </c>
      <c r="T53" s="139"/>
    </row>
    <row r="54" spans="1:21" s="105" customFormat="1">
      <c r="A54" s="337">
        <v>48</v>
      </c>
      <c r="B54" s="338" t="s">
        <v>193</v>
      </c>
      <c r="C54" s="339">
        <v>1620100023048</v>
      </c>
      <c r="D54" s="340">
        <v>1620100023048</v>
      </c>
      <c r="E54" s="341" t="s">
        <v>44</v>
      </c>
      <c r="F54" s="342" t="s">
        <v>168</v>
      </c>
      <c r="G54" s="342">
        <v>25000</v>
      </c>
      <c r="H54" s="343" t="s">
        <v>194</v>
      </c>
      <c r="I54" s="341"/>
      <c r="J54" s="341"/>
      <c r="K54" s="341"/>
      <c r="L54" s="100"/>
      <c r="M54" s="342">
        <v>0</v>
      </c>
      <c r="N54" s="344"/>
      <c r="O54" s="342"/>
      <c r="P54" s="102">
        <v>750</v>
      </c>
      <c r="Q54" s="342"/>
      <c r="R54" s="102">
        <f t="shared" si="0"/>
        <v>24250</v>
      </c>
      <c r="S54" s="342">
        <v>750</v>
      </c>
      <c r="T54" s="100" t="s">
        <v>210</v>
      </c>
    </row>
    <row r="55" spans="1:21" s="86" customFormat="1" ht="22.5" thickBot="1">
      <c r="A55" s="402" t="s">
        <v>103</v>
      </c>
      <c r="B55" s="402"/>
      <c r="C55" s="402"/>
      <c r="D55" s="402"/>
      <c r="E55" s="402"/>
      <c r="F55" s="402"/>
      <c r="G55" s="89">
        <f>SUM(G7:G54)</f>
        <v>798625</v>
      </c>
      <c r="H55" s="75"/>
      <c r="I55" s="75"/>
      <c r="J55" s="75"/>
      <c r="K55" s="89">
        <f t="shared" ref="K55:M55" si="5">SUM(K7:K54)</f>
        <v>0</v>
      </c>
      <c r="L55" s="89">
        <f t="shared" si="5"/>
        <v>0</v>
      </c>
      <c r="M55" s="89">
        <f t="shared" si="5"/>
        <v>123704</v>
      </c>
      <c r="N55" s="87"/>
      <c r="O55" s="87"/>
      <c r="P55" s="89">
        <f>SUM(P7:P54)</f>
        <v>31082</v>
      </c>
      <c r="Q55" s="89">
        <f t="shared" ref="Q55:S55" si="6">SUM(Q7:Q54)</f>
        <v>2832</v>
      </c>
      <c r="R55" s="89">
        <f t="shared" si="6"/>
        <v>888415</v>
      </c>
      <c r="S55" s="89">
        <f t="shared" si="6"/>
        <v>31082</v>
      </c>
      <c r="T55" s="310"/>
    </row>
    <row r="56" spans="1:21" ht="23.25" thickTop="1" thickBot="1">
      <c r="A56" s="119"/>
      <c r="B56" s="3"/>
      <c r="C56" s="3"/>
      <c r="D56" s="49"/>
      <c r="E56" s="3"/>
      <c r="F56" s="3"/>
      <c r="G56" s="39"/>
      <c r="H56" s="39"/>
      <c r="I56" s="39"/>
      <c r="J56" s="39"/>
      <c r="K56" s="39"/>
      <c r="L56" s="39"/>
      <c r="M56" s="39"/>
      <c r="N56" s="331"/>
      <c r="O56" s="331"/>
      <c r="P56" s="39"/>
      <c r="Q56" s="166"/>
      <c r="R56" s="39"/>
      <c r="T56" s="5"/>
    </row>
    <row r="57" spans="1:21" ht="31.5" customHeight="1" thickBot="1">
      <c r="A57" s="119"/>
      <c r="B57" s="50" t="s">
        <v>12</v>
      </c>
      <c r="C57" s="3"/>
      <c r="D57" s="49"/>
      <c r="E57" s="3"/>
      <c r="F57" s="3"/>
      <c r="G57" s="39"/>
      <c r="H57" s="156" t="s">
        <v>145</v>
      </c>
      <c r="I57" s="39"/>
      <c r="J57" s="39"/>
      <c r="K57" s="39"/>
      <c r="P57" s="303" t="s">
        <v>158</v>
      </c>
      <c r="Q57" s="153" t="s">
        <v>159</v>
      </c>
      <c r="R57" s="153" t="s">
        <v>190</v>
      </c>
      <c r="S57" s="164" t="s">
        <v>150</v>
      </c>
      <c r="T57" s="153" t="s">
        <v>11</v>
      </c>
      <c r="U57" s="5"/>
    </row>
    <row r="58" spans="1:21">
      <c r="A58" s="119"/>
      <c r="B58" s="52" t="s">
        <v>156</v>
      </c>
      <c r="C58" s="149">
        <v>2</v>
      </c>
      <c r="D58" s="301"/>
      <c r="E58" s="54" t="s">
        <v>142</v>
      </c>
      <c r="F58" s="54"/>
      <c r="G58" s="55" t="s">
        <v>140</v>
      </c>
      <c r="H58" s="170" t="s">
        <v>141</v>
      </c>
      <c r="I58" s="170">
        <v>15</v>
      </c>
      <c r="J58" s="171" t="s">
        <v>142</v>
      </c>
      <c r="K58" s="148"/>
      <c r="P58" s="16">
        <f>+G27+G28+G33+G35+G36+G37+G38+G39+G40+G41+G42+G44+G50+G52+G53</f>
        <v>133125</v>
      </c>
      <c r="Q58" s="16">
        <f>+P27+P28+P33+P35+P36+P37+P38+P39+P40+P41+P42+P44+P50+P52+P53</f>
        <v>6657</v>
      </c>
      <c r="R58" s="16">
        <f>+M27+M28+M33+M35+M36+M37+M38+M41+M44+M50+M52+M53+M54</f>
        <v>123704</v>
      </c>
      <c r="S58" s="24">
        <v>0</v>
      </c>
      <c r="T58" s="175">
        <f>+R27+R28+R33+R35+R36+R37+R38+R39+R40+R41+R42+R44+R50+R52+R53</f>
        <v>250172</v>
      </c>
      <c r="U58" s="5"/>
    </row>
    <row r="59" spans="1:21">
      <c r="A59" s="119"/>
      <c r="B59" s="56" t="s">
        <v>137</v>
      </c>
      <c r="C59" s="150"/>
      <c r="D59" s="118"/>
      <c r="E59" s="6" t="s">
        <v>142</v>
      </c>
      <c r="F59" s="6"/>
      <c r="G59" s="190" t="s">
        <v>162</v>
      </c>
      <c r="H59" s="173" t="s">
        <v>144</v>
      </c>
      <c r="I59" s="173">
        <v>33</v>
      </c>
      <c r="J59" s="174" t="s">
        <v>142</v>
      </c>
      <c r="K59" s="148"/>
      <c r="P59" s="16">
        <f>+G7+G8+G9+G10+G11+G12+G13+G14+G15+G16+G17+G18+G19+G20+G21+G22+G23+G24+G25+G26+G29+G30+G31+G32+G34+G43+G45+G46+G47+G48+G49+G51+G54</f>
        <v>665500</v>
      </c>
      <c r="Q59" s="16">
        <f>+P7+P8+P9+P10+P11+P12+P13+P14+P15+P16+P17+P18+P19+P20+P21+P22+P23+P24+P25+P26+P29+P30+P31+P32+P34+P43+P45+P46+P47+P48+P49+P51+P54</f>
        <v>24425</v>
      </c>
      <c r="R59" s="16">
        <f>+M7+M8+M9+M10+M11+M12+M13+M14+M15+M16+M17+M18+M19+M20+M21+M22+M23+M24+M25+M26+M29+M30+M31+M32+M34+M43+M45+M46+M47+M48+M49+M51</f>
        <v>0</v>
      </c>
      <c r="S59" s="24">
        <f>+Q10+Q13+Q14</f>
        <v>2832</v>
      </c>
      <c r="T59" s="16">
        <f>+R7+R8+R9+R10+R11+R12+R13+R14+R15+R16+R17+R18+R19+R20+R21+R22+R23+R24+R25+R26+R29+R30+R31+R32+R34+R43+R45+R46+R47+R48+R49+R51+R54</f>
        <v>638243</v>
      </c>
      <c r="U59" s="5"/>
    </row>
    <row r="60" spans="1:21" ht="24.75" thickBot="1">
      <c r="A60" s="119"/>
      <c r="B60" s="419"/>
      <c r="C60" s="420"/>
      <c r="D60" s="300"/>
      <c r="E60" s="187"/>
      <c r="F60" s="187"/>
      <c r="G60" s="188"/>
      <c r="H60" s="189" t="s">
        <v>147</v>
      </c>
      <c r="I60" s="69">
        <f>SUM(I58:I59)</f>
        <v>48</v>
      </c>
      <c r="J60" s="155" t="s">
        <v>142</v>
      </c>
      <c r="K60" s="154"/>
      <c r="L60" s="154"/>
      <c r="M60" s="307"/>
      <c r="P60" s="308">
        <f>SUM(P58:P59)</f>
        <v>798625</v>
      </c>
      <c r="Q60" s="308">
        <f>SUM(Q58:Q59)</f>
        <v>31082</v>
      </c>
      <c r="R60" s="308">
        <f>SUM(R58:R59)</f>
        <v>123704</v>
      </c>
      <c r="S60" s="309">
        <f>SUM(S58:S59)</f>
        <v>2832</v>
      </c>
      <c r="T60" s="308">
        <f>SUM(T58:T59)</f>
        <v>888415</v>
      </c>
    </row>
    <row r="61" spans="1:21" ht="24">
      <c r="A61" s="119"/>
      <c r="B61" s="311"/>
      <c r="C61" s="311"/>
      <c r="D61" s="311"/>
      <c r="H61" s="312"/>
      <c r="I61" s="313"/>
      <c r="J61" s="66"/>
      <c r="K61" s="154"/>
      <c r="L61" s="154"/>
      <c r="M61" s="307"/>
      <c r="P61" s="314"/>
      <c r="Q61" s="314"/>
      <c r="R61" s="314"/>
      <c r="S61" s="315"/>
      <c r="T61" s="314"/>
    </row>
    <row r="62" spans="1:21" ht="25.5">
      <c r="A62" s="119"/>
      <c r="B62" s="316"/>
      <c r="C62" s="317" t="s">
        <v>104</v>
      </c>
      <c r="D62" s="317"/>
      <c r="E62" s="317"/>
      <c r="F62" s="317"/>
      <c r="G62" s="318"/>
      <c r="H62" s="319"/>
      <c r="I62" s="320"/>
      <c r="J62" s="66"/>
      <c r="K62" s="154"/>
      <c r="L62" s="154"/>
      <c r="M62" s="307"/>
      <c r="P62" s="328" t="s">
        <v>205</v>
      </c>
      <c r="Q62" s="39">
        <f>+L54+L53+L52+L50+L44+L42+L41+L40+L39+L38+L37+L36+L35+L33+L28+L27</f>
        <v>0</v>
      </c>
      <c r="R62" s="39"/>
      <c r="S62" s="39"/>
      <c r="T62" s="314"/>
    </row>
    <row r="63" spans="1:21" ht="25.5">
      <c r="A63" s="119"/>
      <c r="B63" s="321">
        <v>1</v>
      </c>
      <c r="C63" s="7" t="s">
        <v>110</v>
      </c>
      <c r="D63" s="345">
        <v>6016300837717</v>
      </c>
      <c r="E63" s="321" t="s">
        <v>209</v>
      </c>
      <c r="F63" s="323">
        <v>242887</v>
      </c>
      <c r="G63" s="324"/>
      <c r="H63" s="324"/>
      <c r="I63" s="323"/>
      <c r="J63" s="66"/>
      <c r="K63" s="154"/>
      <c r="L63" s="154"/>
      <c r="M63" s="307"/>
      <c r="P63" s="329" t="s">
        <v>206</v>
      </c>
      <c r="Q63" s="306">
        <f>+L7+L8+L9+L10+L11+L12+L13+L14+L15+L16+L17+L18+L19+L20+L21+L22+L23+L24+L25+L26+L29+L30+L31+L32+L34+L43+L45+L46+L47+L48+L49+L51</f>
        <v>0</v>
      </c>
      <c r="R63" s="332"/>
      <c r="S63" s="332"/>
      <c r="T63" s="314"/>
    </row>
    <row r="64" spans="1:21" ht="26.25" thickBot="1">
      <c r="A64" s="119"/>
      <c r="B64" s="321">
        <v>2</v>
      </c>
      <c r="C64" s="7" t="s">
        <v>113</v>
      </c>
      <c r="D64" s="345">
        <v>6016300837750</v>
      </c>
      <c r="E64" s="321" t="s">
        <v>209</v>
      </c>
      <c r="F64" s="323">
        <v>242888</v>
      </c>
      <c r="G64" s="324"/>
      <c r="H64" s="324"/>
      <c r="I64" s="323"/>
      <c r="J64" s="66"/>
      <c r="K64" s="154"/>
      <c r="L64" s="154"/>
      <c r="M64" s="307"/>
      <c r="P64" s="148"/>
      <c r="Q64" s="330">
        <f>SUM(Q62:Q63)</f>
        <v>0</v>
      </c>
      <c r="R64" s="335"/>
      <c r="S64" s="335"/>
      <c r="T64" s="314"/>
    </row>
    <row r="65" spans="3:3" ht="24.75" thickTop="1">
      <c r="C65" s="326"/>
    </row>
  </sheetData>
  <mergeCells count="19"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N5:Q5"/>
    <mergeCell ref="R5:R6"/>
    <mergeCell ref="S5:S6"/>
    <mergeCell ref="A55:F55"/>
    <mergeCell ref="B60:C60"/>
    <mergeCell ref="H5:H6"/>
    <mergeCell ref="I5:J5"/>
    <mergeCell ref="K5:M5"/>
  </mergeCells>
  <printOptions horizontalCentered="1"/>
  <pageMargins left="3.937007874015748E-2" right="3.937007874015748E-2" top="0.15748031496062992" bottom="0.11811023622047245" header="0.19685039370078741" footer="7.874015748031496E-2"/>
  <pageSetup paperSize="9" scale="65" orientation="landscape" horizontalDpi="4294967293" r:id="rId1"/>
  <rowBreaks count="1" manualBreakCount="1">
    <brk id="36" max="19" man="1"/>
  </row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8446-3128-48C5-B3D2-6F32CA5A328E}">
  <sheetPr>
    <pageSetUpPr fitToPage="1"/>
  </sheetPr>
  <dimension ref="A1:T65"/>
  <sheetViews>
    <sheetView topLeftCell="A31" workbookViewId="0">
      <selection activeCell="L62" sqref="L62"/>
    </sheetView>
  </sheetViews>
  <sheetFormatPr defaultRowHeight="15"/>
  <cols>
    <col min="1" max="1" width="6.28515625" customWidth="1"/>
    <col min="2" max="2" width="20.7109375" customWidth="1"/>
    <col min="3" max="3" width="15.42578125" customWidth="1"/>
    <col min="4" max="4" width="16.28515625" customWidth="1"/>
    <col min="5" max="5" width="13.28515625" customWidth="1"/>
    <col min="6" max="7" width="10.85546875" customWidth="1"/>
    <col min="8" max="8" width="15.5703125" customWidth="1"/>
    <col min="9" max="9" width="10.42578125" customWidth="1"/>
    <col min="10" max="10" width="7.7109375" customWidth="1"/>
    <col min="11" max="11" width="7.140625" customWidth="1"/>
    <col min="14" max="14" width="8" customWidth="1"/>
    <col min="15" max="15" width="7.42578125" customWidth="1"/>
    <col min="16" max="16" width="10.42578125" customWidth="1"/>
    <col min="17" max="17" width="10.140625" customWidth="1"/>
    <col min="18" max="18" width="9.7109375" customWidth="1"/>
    <col min="19" max="19" width="10.42578125" customWidth="1"/>
    <col min="20" max="20" width="13.57031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212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750</v>
      </c>
      <c r="Q7" s="98"/>
      <c r="R7" s="103">
        <f>SUM(G7+M7-P7-Q7)</f>
        <v>15250</v>
      </c>
      <c r="S7" s="116">
        <v>750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f>ROUND(G8*5%,0)</f>
        <v>725</v>
      </c>
      <c r="Q8" s="98"/>
      <c r="R8" s="103">
        <f t="shared" ref="R8:R52" si="0">SUM(G8+M8-P8-Q8)</f>
        <v>13775</v>
      </c>
      <c r="S8" s="116">
        <f>ROUND(G8*5%,0)</f>
        <v>725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f>ROUND(G9*5%,0)</f>
        <v>725</v>
      </c>
      <c r="Q9" s="98"/>
      <c r="R9" s="103">
        <f t="shared" si="0"/>
        <v>13775</v>
      </c>
      <c r="S9" s="116">
        <f>ROUND(G9*5%,0)</f>
        <v>725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651</v>
      </c>
      <c r="R10" s="103">
        <f t="shared" si="0"/>
        <v>16099</v>
      </c>
      <c r="S10" s="116">
        <v>750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18250</v>
      </c>
      <c r="S11" s="116">
        <v>750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20250</v>
      </c>
      <c r="S12" s="116">
        <v>750</v>
      </c>
      <c r="T12" s="100"/>
    </row>
    <row r="13" spans="1:20" ht="21.75">
      <c r="A13" s="117">
        <v>7</v>
      </c>
      <c r="B13" s="106" t="s">
        <v>38</v>
      </c>
      <c r="C13" s="107" t="s">
        <v>39</v>
      </c>
      <c r="D13" s="107" t="s">
        <v>39</v>
      </c>
      <c r="E13" s="107" t="s">
        <v>32</v>
      </c>
      <c r="F13" s="193" t="s">
        <v>169</v>
      </c>
      <c r="G13" s="103">
        <v>25000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1476</v>
      </c>
      <c r="R13" s="103">
        <f t="shared" si="0"/>
        <v>22774</v>
      </c>
      <c r="S13" s="116">
        <v>750</v>
      </c>
      <c r="T13" s="100"/>
    </row>
    <row r="14" spans="1:20" ht="21.75">
      <c r="A14" s="117">
        <v>8</v>
      </c>
      <c r="B14" s="106" t="s">
        <v>40</v>
      </c>
      <c r="C14" s="107" t="s">
        <v>41</v>
      </c>
      <c r="D14" s="97">
        <v>1480100132183</v>
      </c>
      <c r="E14" s="107" t="s">
        <v>32</v>
      </c>
      <c r="F14" s="193" t="s">
        <v>169</v>
      </c>
      <c r="G14" s="103">
        <v>23000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>
        <v>705</v>
      </c>
      <c r="R14" s="103">
        <f t="shared" si="0"/>
        <v>21545</v>
      </c>
      <c r="S14" s="116">
        <v>750</v>
      </c>
      <c r="T14" s="100"/>
    </row>
    <row r="15" spans="1:20" ht="21.75">
      <c r="A15" s="117">
        <v>9</v>
      </c>
      <c r="B15" s="96" t="s">
        <v>187</v>
      </c>
      <c r="C15" s="107" t="s">
        <v>43</v>
      </c>
      <c r="D15" s="97">
        <v>3220300867304</v>
      </c>
      <c r="E15" s="107" t="s">
        <v>44</v>
      </c>
      <c r="F15" s="198" t="s">
        <v>168</v>
      </c>
      <c r="G15" s="103">
        <v>25000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24250</v>
      </c>
      <c r="S15" s="116">
        <v>750</v>
      </c>
      <c r="T15" s="100"/>
    </row>
    <row r="16" spans="1:20" ht="21.75">
      <c r="A16" s="117">
        <v>10</v>
      </c>
      <c r="B16" s="106" t="s">
        <v>45</v>
      </c>
      <c r="C16" s="107" t="s">
        <v>46</v>
      </c>
      <c r="D16" s="97">
        <v>1100800178073</v>
      </c>
      <c r="E16" s="107" t="s">
        <v>44</v>
      </c>
      <c r="F16" s="198" t="s">
        <v>168</v>
      </c>
      <c r="G16" s="103">
        <v>21000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20250</v>
      </c>
      <c r="S16" s="116">
        <v>750</v>
      </c>
      <c r="T16" s="100"/>
    </row>
    <row r="17" spans="1:20" ht="21.75">
      <c r="A17" s="117">
        <v>11</v>
      </c>
      <c r="B17" s="106" t="s">
        <v>47</v>
      </c>
      <c r="C17" s="107" t="s">
        <v>48</v>
      </c>
      <c r="D17" s="97">
        <v>1330400064231</v>
      </c>
      <c r="E17" s="107" t="s">
        <v>44</v>
      </c>
      <c r="F17" s="198" t="s">
        <v>168</v>
      </c>
      <c r="G17" s="103">
        <v>19000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18250</v>
      </c>
      <c r="S17" s="116">
        <v>750</v>
      </c>
      <c r="T17" s="100"/>
    </row>
    <row r="18" spans="1:20" ht="21.75">
      <c r="A18" s="117">
        <v>12</v>
      </c>
      <c r="B18" s="106" t="s">
        <v>49</v>
      </c>
      <c r="C18" s="107" t="s">
        <v>50</v>
      </c>
      <c r="D18" s="97">
        <v>3220600150995</v>
      </c>
      <c r="E18" s="107" t="s">
        <v>37</v>
      </c>
      <c r="F18" s="198" t="s">
        <v>168</v>
      </c>
      <c r="G18" s="103">
        <v>25000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24250</v>
      </c>
      <c r="S18" s="116">
        <v>750</v>
      </c>
      <c r="T18" s="100"/>
    </row>
    <row r="19" spans="1:20" ht="21.75">
      <c r="A19" s="117">
        <v>13</v>
      </c>
      <c r="B19" s="106" t="s">
        <v>51</v>
      </c>
      <c r="C19" s="107" t="s">
        <v>52</v>
      </c>
      <c r="D19" s="97">
        <v>3220600063120</v>
      </c>
      <c r="E19" s="107" t="s">
        <v>44</v>
      </c>
      <c r="F19" s="198" t="s">
        <v>168</v>
      </c>
      <c r="G19" s="103">
        <v>23800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23050</v>
      </c>
      <c r="S19" s="116">
        <v>750</v>
      </c>
      <c r="T19" s="100"/>
    </row>
    <row r="20" spans="1:20" ht="21.75">
      <c r="A20" s="117">
        <v>14</v>
      </c>
      <c r="B20" s="106" t="s">
        <v>53</v>
      </c>
      <c r="C20" s="107" t="s">
        <v>54</v>
      </c>
      <c r="D20" s="97">
        <v>1101401444200</v>
      </c>
      <c r="E20" s="107" t="s">
        <v>55</v>
      </c>
      <c r="F20" s="193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24250</v>
      </c>
      <c r="S20" s="116">
        <v>750</v>
      </c>
      <c r="T20" s="100"/>
    </row>
    <row r="21" spans="1:20" ht="21.75">
      <c r="A21" s="117">
        <v>15</v>
      </c>
      <c r="B21" s="106" t="s">
        <v>56</v>
      </c>
      <c r="C21" s="107" t="s">
        <v>57</v>
      </c>
      <c r="D21" s="97">
        <v>3220600051547</v>
      </c>
      <c r="E21" s="107" t="s">
        <v>58</v>
      </c>
      <c r="F21" s="193" t="s">
        <v>169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v>750</v>
      </c>
      <c r="T21" s="100"/>
    </row>
    <row r="22" spans="1:20" ht="21.75">
      <c r="A22" s="117">
        <v>16</v>
      </c>
      <c r="B22" s="106" t="s">
        <v>60</v>
      </c>
      <c r="C22" s="107" t="s">
        <v>61</v>
      </c>
      <c r="D22" s="97">
        <v>1669800026200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v>750</v>
      </c>
      <c r="T22" s="100"/>
    </row>
    <row r="23" spans="1:20" ht="21.75">
      <c r="A23" s="117">
        <v>17</v>
      </c>
      <c r="B23" s="106" t="s">
        <v>62</v>
      </c>
      <c r="C23" s="107" t="s">
        <v>63</v>
      </c>
      <c r="D23" s="97">
        <v>3250700359462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v>750</v>
      </c>
      <c r="T23" s="100"/>
    </row>
    <row r="24" spans="1:20" ht="21.75">
      <c r="A24" s="117">
        <v>18</v>
      </c>
      <c r="B24" s="106" t="s">
        <v>64</v>
      </c>
      <c r="C24" s="107" t="s">
        <v>65</v>
      </c>
      <c r="D24" s="97">
        <v>3480100123199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v>750</v>
      </c>
      <c r="T24" s="100"/>
    </row>
    <row r="25" spans="1:20" ht="21.75">
      <c r="A25" s="117">
        <v>19</v>
      </c>
      <c r="B25" s="106" t="s">
        <v>66</v>
      </c>
      <c r="C25" s="107" t="s">
        <v>67</v>
      </c>
      <c r="D25" s="97">
        <v>3401500318249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v>750</v>
      </c>
      <c r="T25" s="100"/>
    </row>
    <row r="26" spans="1:20" ht="21.75">
      <c r="A26" s="117">
        <v>20</v>
      </c>
      <c r="B26" s="106" t="s">
        <v>68</v>
      </c>
      <c r="C26" s="107" t="s">
        <v>69</v>
      </c>
      <c r="D26" s="97">
        <v>3250400588105</v>
      </c>
      <c r="E26" s="107" t="s">
        <v>44</v>
      </c>
      <c r="F26" s="198" t="s">
        <v>168</v>
      </c>
      <c r="G26" s="103">
        <v>25000</v>
      </c>
      <c r="H26" s="107"/>
      <c r="I26" s="107"/>
      <c r="J26" s="107"/>
      <c r="K26" s="107"/>
      <c r="L26" s="107"/>
      <c r="M26" s="103"/>
      <c r="N26" s="109"/>
      <c r="O26" s="103"/>
      <c r="P26" s="103">
        <v>750</v>
      </c>
      <c r="Q26" s="98"/>
      <c r="R26" s="103">
        <f t="shared" si="0"/>
        <v>24250</v>
      </c>
      <c r="S26" s="116">
        <v>750</v>
      </c>
      <c r="T26" s="100"/>
    </row>
    <row r="27" spans="1:20" ht="21.75">
      <c r="A27" s="121">
        <v>21</v>
      </c>
      <c r="B27" s="122" t="s">
        <v>70</v>
      </c>
      <c r="C27" s="123" t="s">
        <v>71</v>
      </c>
      <c r="D27" s="137">
        <v>3220600129554</v>
      </c>
      <c r="E27" s="123" t="s">
        <v>72</v>
      </c>
      <c r="F27" s="124" t="s">
        <v>168</v>
      </c>
      <c r="G27" s="124">
        <f>+I27*J27</f>
        <v>8580</v>
      </c>
      <c r="H27" s="123"/>
      <c r="I27" s="123">
        <v>440</v>
      </c>
      <c r="J27" s="123">
        <v>19.5</v>
      </c>
      <c r="K27" s="123"/>
      <c r="L27" s="123"/>
      <c r="M27" s="124"/>
      <c r="N27" s="126"/>
      <c r="O27" s="124"/>
      <c r="P27" s="124">
        <f>ROUND(G27*5%,0)</f>
        <v>429</v>
      </c>
      <c r="Q27" s="135"/>
      <c r="R27" s="124">
        <f t="shared" si="0"/>
        <v>8151</v>
      </c>
      <c r="S27" s="128">
        <f>ROUND(G27*5%,0)</f>
        <v>429</v>
      </c>
      <c r="T27" s="124"/>
    </row>
    <row r="28" spans="1:20" ht="21.75">
      <c r="A28" s="121">
        <v>22</v>
      </c>
      <c r="B28" s="122" t="s">
        <v>73</v>
      </c>
      <c r="C28" s="123" t="s">
        <v>74</v>
      </c>
      <c r="D28" s="137">
        <v>1330400154485</v>
      </c>
      <c r="E28" s="123" t="s">
        <v>72</v>
      </c>
      <c r="F28" s="124" t="s">
        <v>168</v>
      </c>
      <c r="G28" s="124">
        <f>+I28*J28</f>
        <v>8140</v>
      </c>
      <c r="H28" s="123"/>
      <c r="I28" s="123">
        <v>370</v>
      </c>
      <c r="J28" s="123">
        <v>22</v>
      </c>
      <c r="K28" s="123"/>
      <c r="L28" s="123"/>
      <c r="M28" s="124">
        <v>4503</v>
      </c>
      <c r="N28" s="126"/>
      <c r="O28" s="124"/>
      <c r="P28" s="124">
        <f>ROUND(G28*5%,0)</f>
        <v>407</v>
      </c>
      <c r="Q28" s="135"/>
      <c r="R28" s="124">
        <f t="shared" si="0"/>
        <v>12236</v>
      </c>
      <c r="S28" s="128">
        <f>ROUND(G28*5%,0)</f>
        <v>407</v>
      </c>
      <c r="T28" s="124"/>
    </row>
    <row r="29" spans="1:20" ht="21.75">
      <c r="A29" s="117">
        <v>23</v>
      </c>
      <c r="B29" s="106" t="s">
        <v>75</v>
      </c>
      <c r="C29" s="107" t="s">
        <v>76</v>
      </c>
      <c r="D29" s="97">
        <v>3480600174426</v>
      </c>
      <c r="E29" s="107" t="s">
        <v>44</v>
      </c>
      <c r="F29" s="198" t="s">
        <v>168</v>
      </c>
      <c r="G29" s="103">
        <v>25000</v>
      </c>
      <c r="H29" s="107"/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24250</v>
      </c>
      <c r="S29" s="98">
        <v>750</v>
      </c>
      <c r="T29" s="100"/>
    </row>
    <row r="30" spans="1:20" ht="21.75">
      <c r="A30" s="117">
        <v>24</v>
      </c>
      <c r="B30" s="106" t="s">
        <v>77</v>
      </c>
      <c r="C30" s="107" t="s">
        <v>78</v>
      </c>
      <c r="D30" s="97">
        <v>1220600005824</v>
      </c>
      <c r="E30" s="107" t="s">
        <v>79</v>
      </c>
      <c r="F30" s="193" t="s">
        <v>169</v>
      </c>
      <c r="G30" s="103">
        <v>17000</v>
      </c>
      <c r="H30" s="113" t="s">
        <v>80</v>
      </c>
      <c r="I30" s="107"/>
      <c r="J30" s="107"/>
      <c r="K30" s="107"/>
      <c r="L30" s="107"/>
      <c r="M30" s="103"/>
      <c r="N30" s="109"/>
      <c r="O30" s="103"/>
      <c r="P30" s="103">
        <v>750</v>
      </c>
      <c r="Q30" s="98"/>
      <c r="R30" s="103">
        <f t="shared" si="0"/>
        <v>16250</v>
      </c>
      <c r="S30" s="116">
        <v>750</v>
      </c>
      <c r="T30" s="100"/>
    </row>
    <row r="31" spans="1:20" ht="21.75">
      <c r="A31" s="117">
        <v>25</v>
      </c>
      <c r="B31" s="96" t="s">
        <v>84</v>
      </c>
      <c r="C31" s="95" t="s">
        <v>85</v>
      </c>
      <c r="D31" s="97">
        <v>1229900694674</v>
      </c>
      <c r="E31" s="95" t="s">
        <v>32</v>
      </c>
      <c r="F31" s="261" t="s">
        <v>169</v>
      </c>
      <c r="G31" s="98">
        <v>17000</v>
      </c>
      <c r="H31" s="113" t="s">
        <v>83</v>
      </c>
      <c r="I31" s="95"/>
      <c r="J31" s="95"/>
      <c r="K31" s="95"/>
      <c r="L31" s="107"/>
      <c r="M31" s="98"/>
      <c r="N31" s="109"/>
      <c r="O31" s="103"/>
      <c r="P31" s="103">
        <v>750</v>
      </c>
      <c r="Q31" s="98"/>
      <c r="R31" s="103">
        <f t="shared" si="0"/>
        <v>16250</v>
      </c>
      <c r="S31" s="116">
        <v>750</v>
      </c>
      <c r="T31" s="100"/>
    </row>
    <row r="32" spans="1:20" ht="21.75">
      <c r="A32" s="117">
        <v>26</v>
      </c>
      <c r="B32" s="106" t="s">
        <v>86</v>
      </c>
      <c r="C32" s="107" t="s">
        <v>87</v>
      </c>
      <c r="D32" s="97">
        <v>3480100123211</v>
      </c>
      <c r="E32" s="107" t="s">
        <v>44</v>
      </c>
      <c r="F32" s="198" t="s">
        <v>168</v>
      </c>
      <c r="G32" s="103">
        <v>25000</v>
      </c>
      <c r="H32" s="108" t="s">
        <v>88</v>
      </c>
      <c r="I32" s="107"/>
      <c r="J32" s="107"/>
      <c r="K32" s="107"/>
      <c r="L32" s="107"/>
      <c r="M32" s="103"/>
      <c r="N32" s="109"/>
      <c r="O32" s="103"/>
      <c r="P32" s="103">
        <v>750</v>
      </c>
      <c r="Q32" s="98"/>
      <c r="R32" s="103">
        <f t="shared" si="0"/>
        <v>24250</v>
      </c>
      <c r="S32" s="116">
        <v>750</v>
      </c>
      <c r="T32" s="102"/>
    </row>
    <row r="33" spans="1:20" ht="21.75">
      <c r="A33" s="121">
        <v>27</v>
      </c>
      <c r="B33" s="122" t="s">
        <v>89</v>
      </c>
      <c r="C33" s="123" t="s">
        <v>90</v>
      </c>
      <c r="D33" s="123" t="s">
        <v>90</v>
      </c>
      <c r="E33" s="123" t="s">
        <v>72</v>
      </c>
      <c r="F33" s="124" t="s">
        <v>168</v>
      </c>
      <c r="G33" s="124">
        <f>+I33*J33</f>
        <v>7980</v>
      </c>
      <c r="H33" s="125" t="s">
        <v>88</v>
      </c>
      <c r="I33" s="123">
        <v>420</v>
      </c>
      <c r="J33" s="123">
        <v>19</v>
      </c>
      <c r="K33" s="123"/>
      <c r="L33" s="123"/>
      <c r="M33" s="124"/>
      <c r="N33" s="126"/>
      <c r="O33" s="124"/>
      <c r="P33" s="124">
        <f>ROUND(G33*5%,0)</f>
        <v>399</v>
      </c>
      <c r="Q33" s="135"/>
      <c r="R33" s="124">
        <f t="shared" si="0"/>
        <v>7581</v>
      </c>
      <c r="S33" s="128">
        <f>ROUND(G33*5%,0)</f>
        <v>399</v>
      </c>
      <c r="T33" s="124"/>
    </row>
    <row r="34" spans="1:20" ht="21.75">
      <c r="A34" s="117">
        <v>28</v>
      </c>
      <c r="B34" s="106" t="s">
        <v>91</v>
      </c>
      <c r="C34" s="107" t="s">
        <v>92</v>
      </c>
      <c r="D34" s="97">
        <v>1220400111680</v>
      </c>
      <c r="E34" s="107" t="s">
        <v>32</v>
      </c>
      <c r="F34" s="193" t="s">
        <v>169</v>
      </c>
      <c r="G34" s="103">
        <v>17200</v>
      </c>
      <c r="H34" s="108" t="s">
        <v>93</v>
      </c>
      <c r="I34" s="107"/>
      <c r="J34" s="107"/>
      <c r="K34" s="107"/>
      <c r="L34" s="107"/>
      <c r="M34" s="103"/>
      <c r="N34" s="109"/>
      <c r="O34" s="103"/>
      <c r="P34" s="103">
        <v>750</v>
      </c>
      <c r="Q34" s="98"/>
      <c r="R34" s="103">
        <f t="shared" si="0"/>
        <v>16450</v>
      </c>
      <c r="S34" s="116">
        <v>750</v>
      </c>
      <c r="T34" s="100"/>
    </row>
    <row r="35" spans="1:20" ht="21.75">
      <c r="A35" s="121">
        <v>29</v>
      </c>
      <c r="B35" s="122" t="s">
        <v>94</v>
      </c>
      <c r="C35" s="130">
        <v>6016200526744</v>
      </c>
      <c r="D35" s="137">
        <v>991016244128</v>
      </c>
      <c r="E35" s="123" t="s">
        <v>95</v>
      </c>
      <c r="F35" s="124" t="s">
        <v>168</v>
      </c>
      <c r="G35" s="124">
        <f>I35*J35</f>
        <v>7480</v>
      </c>
      <c r="H35" s="125" t="s">
        <v>96</v>
      </c>
      <c r="I35" s="123">
        <v>340</v>
      </c>
      <c r="J35" s="123">
        <v>22</v>
      </c>
      <c r="K35" s="123"/>
      <c r="L35" s="123"/>
      <c r="M35" s="124">
        <v>14666</v>
      </c>
      <c r="N35" s="126"/>
      <c r="O35" s="124"/>
      <c r="P35" s="124">
        <f t="shared" ref="P35:P40" si="1">ROUND(G35*5%,0)</f>
        <v>374</v>
      </c>
      <c r="Q35" s="135"/>
      <c r="R35" s="124">
        <f t="shared" si="0"/>
        <v>21772</v>
      </c>
      <c r="S35" s="128">
        <f t="shared" ref="S35:S40" si="2">ROUND(G35*5%,0)</f>
        <v>374</v>
      </c>
      <c r="T35" s="124"/>
    </row>
    <row r="36" spans="1:20" ht="21.75">
      <c r="A36" s="121">
        <v>30</v>
      </c>
      <c r="B36" s="122" t="s">
        <v>97</v>
      </c>
      <c r="C36" s="130">
        <v>6016200526680</v>
      </c>
      <c r="D36" s="137">
        <v>991016243920</v>
      </c>
      <c r="E36" s="123" t="s">
        <v>95</v>
      </c>
      <c r="F36" s="124" t="s">
        <v>168</v>
      </c>
      <c r="G36" s="124">
        <f t="shared" ref="G36:G40" si="3">I36*J36</f>
        <v>7480</v>
      </c>
      <c r="H36" s="125" t="s">
        <v>96</v>
      </c>
      <c r="I36" s="123">
        <v>340</v>
      </c>
      <c r="J36" s="123">
        <v>22</v>
      </c>
      <c r="K36" s="123"/>
      <c r="L36" s="123"/>
      <c r="M36" s="124">
        <v>14666</v>
      </c>
      <c r="N36" s="126"/>
      <c r="O36" s="124"/>
      <c r="P36" s="124">
        <f t="shared" si="1"/>
        <v>374</v>
      </c>
      <c r="Q36" s="135"/>
      <c r="R36" s="124">
        <f t="shared" si="0"/>
        <v>21772</v>
      </c>
      <c r="S36" s="128">
        <f t="shared" si="2"/>
        <v>374</v>
      </c>
      <c r="T36" s="124"/>
    </row>
    <row r="37" spans="1:20" ht="21.75">
      <c r="A37" s="121">
        <v>31</v>
      </c>
      <c r="B37" s="122" t="s">
        <v>98</v>
      </c>
      <c r="C37" s="130">
        <v>6016200526639</v>
      </c>
      <c r="D37" s="137">
        <v>991016243091</v>
      </c>
      <c r="E37" s="123" t="s">
        <v>95</v>
      </c>
      <c r="F37" s="124" t="s">
        <v>168</v>
      </c>
      <c r="G37" s="124">
        <f t="shared" si="3"/>
        <v>7480</v>
      </c>
      <c r="H37" s="125" t="s">
        <v>96</v>
      </c>
      <c r="I37" s="123">
        <v>340</v>
      </c>
      <c r="J37" s="123">
        <v>22</v>
      </c>
      <c r="K37" s="123"/>
      <c r="L37" s="123"/>
      <c r="M37" s="124">
        <v>4503</v>
      </c>
      <c r="N37" s="126"/>
      <c r="O37" s="124"/>
      <c r="P37" s="124">
        <f t="shared" si="1"/>
        <v>374</v>
      </c>
      <c r="Q37" s="135"/>
      <c r="R37" s="124">
        <f t="shared" si="0"/>
        <v>11609</v>
      </c>
      <c r="S37" s="128">
        <f t="shared" si="2"/>
        <v>374</v>
      </c>
      <c r="T37" s="124"/>
    </row>
    <row r="38" spans="1:20" ht="21.75">
      <c r="A38" s="121">
        <v>32</v>
      </c>
      <c r="B38" s="122" t="s">
        <v>99</v>
      </c>
      <c r="C38" s="130">
        <v>6016200526591</v>
      </c>
      <c r="D38" s="137">
        <v>991016242486</v>
      </c>
      <c r="E38" s="123" t="s">
        <v>95</v>
      </c>
      <c r="F38" s="124" t="s">
        <v>168</v>
      </c>
      <c r="G38" s="124">
        <f t="shared" si="3"/>
        <v>7480</v>
      </c>
      <c r="H38" s="125" t="s">
        <v>96</v>
      </c>
      <c r="I38" s="123">
        <v>340</v>
      </c>
      <c r="J38" s="123">
        <v>22</v>
      </c>
      <c r="K38" s="123"/>
      <c r="L38" s="123"/>
      <c r="M38" s="124">
        <v>14666</v>
      </c>
      <c r="N38" s="126"/>
      <c r="O38" s="124"/>
      <c r="P38" s="124">
        <f t="shared" si="1"/>
        <v>374</v>
      </c>
      <c r="Q38" s="135"/>
      <c r="R38" s="124">
        <f t="shared" si="0"/>
        <v>21772</v>
      </c>
      <c r="S38" s="128">
        <f t="shared" si="2"/>
        <v>374</v>
      </c>
      <c r="T38" s="124"/>
    </row>
    <row r="39" spans="1:20" ht="21.75">
      <c r="A39" s="121">
        <v>33</v>
      </c>
      <c r="B39" s="131" t="s">
        <v>108</v>
      </c>
      <c r="C39" s="132" t="s">
        <v>109</v>
      </c>
      <c r="D39" s="137">
        <v>1229900526551</v>
      </c>
      <c r="E39" s="132" t="s">
        <v>72</v>
      </c>
      <c r="F39" s="124" t="s">
        <v>168</v>
      </c>
      <c r="G39" s="124">
        <f t="shared" si="3"/>
        <v>8800</v>
      </c>
      <c r="H39" s="133" t="s">
        <v>107</v>
      </c>
      <c r="I39" s="132">
        <v>440</v>
      </c>
      <c r="J39" s="132">
        <v>20</v>
      </c>
      <c r="K39" s="132"/>
      <c r="L39" s="123"/>
      <c r="M39" s="135"/>
      <c r="N39" s="134"/>
      <c r="O39" s="135"/>
      <c r="P39" s="124">
        <f t="shared" si="1"/>
        <v>440</v>
      </c>
      <c r="Q39" s="135"/>
      <c r="R39" s="124">
        <f t="shared" si="0"/>
        <v>8360</v>
      </c>
      <c r="S39" s="128">
        <f t="shared" si="2"/>
        <v>440</v>
      </c>
      <c r="T39" s="124"/>
    </row>
    <row r="40" spans="1:20" ht="21.75">
      <c r="A40" s="121">
        <v>34</v>
      </c>
      <c r="B40" s="131" t="s">
        <v>112</v>
      </c>
      <c r="C40" s="137">
        <v>6016300837709</v>
      </c>
      <c r="D40" s="137">
        <v>991019747724</v>
      </c>
      <c r="E40" s="132" t="s">
        <v>95</v>
      </c>
      <c r="F40" s="124" t="s">
        <v>168</v>
      </c>
      <c r="G40" s="124">
        <f t="shared" si="3"/>
        <v>7480</v>
      </c>
      <c r="H40" s="133" t="s">
        <v>111</v>
      </c>
      <c r="I40" s="132">
        <v>340</v>
      </c>
      <c r="J40" s="132">
        <v>22</v>
      </c>
      <c r="K40" s="132"/>
      <c r="L40" s="132"/>
      <c r="M40" s="135">
        <v>14666</v>
      </c>
      <c r="N40" s="134"/>
      <c r="O40" s="135"/>
      <c r="P40" s="124">
        <f t="shared" si="1"/>
        <v>374</v>
      </c>
      <c r="Q40" s="135"/>
      <c r="R40" s="124">
        <f t="shared" si="0"/>
        <v>21772</v>
      </c>
      <c r="S40" s="128">
        <f t="shared" si="2"/>
        <v>374</v>
      </c>
      <c r="T40" s="124"/>
    </row>
    <row r="41" spans="1:20" ht="21.75">
      <c r="A41" s="117">
        <v>35</v>
      </c>
      <c r="B41" s="106" t="s">
        <v>100</v>
      </c>
      <c r="C41" s="111">
        <v>1101500149087</v>
      </c>
      <c r="D41" s="97">
        <v>1101500149087</v>
      </c>
      <c r="E41" s="107" t="s">
        <v>44</v>
      </c>
      <c r="F41" s="198" t="s">
        <v>168</v>
      </c>
      <c r="G41" s="103">
        <v>25000</v>
      </c>
      <c r="H41" s="112" t="s">
        <v>101</v>
      </c>
      <c r="I41" s="107"/>
      <c r="J41" s="107"/>
      <c r="K41" s="107"/>
      <c r="L41" s="107"/>
      <c r="M41" s="103"/>
      <c r="N41" s="109"/>
      <c r="O41" s="103"/>
      <c r="P41" s="103">
        <v>750</v>
      </c>
      <c r="Q41" s="98"/>
      <c r="R41" s="103">
        <f t="shared" si="0"/>
        <v>24250</v>
      </c>
      <c r="S41" s="116">
        <v>750</v>
      </c>
      <c r="T41" s="100"/>
    </row>
    <row r="42" spans="1:20" ht="21.75">
      <c r="A42" s="121">
        <v>36</v>
      </c>
      <c r="B42" s="122" t="s">
        <v>102</v>
      </c>
      <c r="C42" s="130">
        <v>6016201374921</v>
      </c>
      <c r="D42" s="137">
        <v>991017408884</v>
      </c>
      <c r="E42" s="123" t="s">
        <v>95</v>
      </c>
      <c r="F42" s="124" t="s">
        <v>168</v>
      </c>
      <c r="G42" s="124">
        <f>+I42*J42</f>
        <v>7480</v>
      </c>
      <c r="H42" s="138" t="s">
        <v>106</v>
      </c>
      <c r="I42" s="123">
        <v>340</v>
      </c>
      <c r="J42" s="123">
        <v>22</v>
      </c>
      <c r="K42" s="123"/>
      <c r="L42" s="123"/>
      <c r="M42" s="124">
        <v>14666</v>
      </c>
      <c r="N42" s="126"/>
      <c r="O42" s="124"/>
      <c r="P42" s="124">
        <f>ROUND(G42*5%,0)</f>
        <v>374</v>
      </c>
      <c r="Q42" s="135"/>
      <c r="R42" s="124">
        <f t="shared" si="0"/>
        <v>21772</v>
      </c>
      <c r="S42" s="128">
        <f>ROUND(G42*5%,0)</f>
        <v>374</v>
      </c>
      <c r="T42" s="124"/>
    </row>
    <row r="43" spans="1:20" ht="21.75">
      <c r="A43" s="117">
        <v>37</v>
      </c>
      <c r="B43" s="96" t="s">
        <v>114</v>
      </c>
      <c r="C43" s="97">
        <v>1419900221235</v>
      </c>
      <c r="D43" s="97">
        <v>1419900221235</v>
      </c>
      <c r="E43" s="95" t="s">
        <v>32</v>
      </c>
      <c r="F43" s="261" t="s">
        <v>169</v>
      </c>
      <c r="G43" s="98">
        <v>13000</v>
      </c>
      <c r="H43" s="99" t="s">
        <v>115</v>
      </c>
      <c r="I43" s="100"/>
      <c r="J43" s="100"/>
      <c r="K43" s="100"/>
      <c r="L43" s="107"/>
      <c r="M43" s="102"/>
      <c r="N43" s="101"/>
      <c r="O43" s="102"/>
      <c r="P43" s="103">
        <f>ROUND(G43*5%,0)</f>
        <v>650</v>
      </c>
      <c r="Q43" s="98"/>
      <c r="R43" s="103">
        <f t="shared" si="0"/>
        <v>12350</v>
      </c>
      <c r="S43" s="116">
        <f>ROUND(G43*5%,0)</f>
        <v>650</v>
      </c>
      <c r="T43" s="100"/>
    </row>
    <row r="44" spans="1:20" ht="21.75">
      <c r="A44" s="117">
        <v>38</v>
      </c>
      <c r="B44" s="96" t="s">
        <v>118</v>
      </c>
      <c r="C44" s="97">
        <v>1229900643638</v>
      </c>
      <c r="D44" s="97">
        <v>1229900643638</v>
      </c>
      <c r="E44" s="95" t="s">
        <v>44</v>
      </c>
      <c r="F44" s="248" t="s">
        <v>168</v>
      </c>
      <c r="G44" s="98">
        <v>25000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750</v>
      </c>
      <c r="Q44" s="98"/>
      <c r="R44" s="103">
        <f t="shared" si="0"/>
        <v>24250</v>
      </c>
      <c r="S44" s="116">
        <v>750</v>
      </c>
      <c r="T44" s="100"/>
    </row>
    <row r="45" spans="1:20" ht="21.75">
      <c r="A45" s="117">
        <v>39</v>
      </c>
      <c r="B45" s="96" t="s">
        <v>120</v>
      </c>
      <c r="C45" s="97">
        <v>3402000037896</v>
      </c>
      <c r="D45" s="97">
        <v>3402000037896</v>
      </c>
      <c r="E45" s="95" t="s">
        <v>44</v>
      </c>
      <c r="F45" s="248" t="s">
        <v>168</v>
      </c>
      <c r="G45" s="98">
        <v>25000</v>
      </c>
      <c r="H45" s="99" t="s">
        <v>119</v>
      </c>
      <c r="I45" s="95"/>
      <c r="J45" s="95"/>
      <c r="K45" s="95"/>
      <c r="L45" s="107"/>
      <c r="M45" s="98"/>
      <c r="N45" s="115"/>
      <c r="O45" s="98"/>
      <c r="P45" s="103">
        <v>750</v>
      </c>
      <c r="Q45" s="98"/>
      <c r="R45" s="103">
        <f t="shared" si="0"/>
        <v>24250</v>
      </c>
      <c r="S45" s="116">
        <v>750</v>
      </c>
      <c r="T45" s="100"/>
    </row>
    <row r="46" spans="1:20" ht="21.75">
      <c r="A46" s="117">
        <v>40</v>
      </c>
      <c r="B46" s="96" t="s">
        <v>121</v>
      </c>
      <c r="C46" s="97">
        <v>3341600658671</v>
      </c>
      <c r="D46" s="97">
        <v>3341600658671</v>
      </c>
      <c r="E46" s="95" t="s">
        <v>44</v>
      </c>
      <c r="F46" s="248" t="s">
        <v>168</v>
      </c>
      <c r="G46" s="98">
        <v>25000</v>
      </c>
      <c r="H46" s="99" t="s">
        <v>119</v>
      </c>
      <c r="I46" s="95"/>
      <c r="J46" s="95"/>
      <c r="K46" s="95"/>
      <c r="L46" s="107"/>
      <c r="M46" s="98"/>
      <c r="N46" s="115"/>
      <c r="O46" s="98"/>
      <c r="P46" s="103">
        <v>750</v>
      </c>
      <c r="Q46" s="98"/>
      <c r="R46" s="103">
        <f t="shared" si="0"/>
        <v>24250</v>
      </c>
      <c r="S46" s="116">
        <v>750</v>
      </c>
      <c r="T46" s="100"/>
    </row>
    <row r="47" spans="1:20" ht="21.75">
      <c r="A47" s="117">
        <v>41</v>
      </c>
      <c r="B47" s="96" t="s">
        <v>122</v>
      </c>
      <c r="C47" s="97">
        <v>3930100204585</v>
      </c>
      <c r="D47" s="97">
        <v>3930100204585</v>
      </c>
      <c r="E47" s="95" t="s">
        <v>19</v>
      </c>
      <c r="F47" s="261" t="s">
        <v>169</v>
      </c>
      <c r="G47" s="98">
        <v>16500</v>
      </c>
      <c r="H47" s="99" t="s">
        <v>119</v>
      </c>
      <c r="I47" s="95"/>
      <c r="J47" s="95"/>
      <c r="K47" s="95"/>
      <c r="L47" s="107"/>
      <c r="M47" s="98"/>
      <c r="N47" s="115"/>
      <c r="O47" s="98"/>
      <c r="P47" s="103">
        <v>750</v>
      </c>
      <c r="Q47" s="98"/>
      <c r="R47" s="103">
        <f t="shared" si="0"/>
        <v>15750</v>
      </c>
      <c r="S47" s="116">
        <v>750</v>
      </c>
      <c r="T47" s="100"/>
    </row>
    <row r="48" spans="1:20" ht="21.75">
      <c r="A48" s="121">
        <v>42</v>
      </c>
      <c r="B48" s="141" t="s">
        <v>138</v>
      </c>
      <c r="C48" s="142">
        <v>1461000135963</v>
      </c>
      <c r="D48" s="137">
        <v>1461000135963</v>
      </c>
      <c r="E48" s="143" t="s">
        <v>95</v>
      </c>
      <c r="F48" s="128" t="s">
        <v>168</v>
      </c>
      <c r="G48" s="128">
        <f>I48*J48</f>
        <v>7920</v>
      </c>
      <c r="H48" s="144" t="s">
        <v>139</v>
      </c>
      <c r="I48" s="143">
        <v>360</v>
      </c>
      <c r="J48" s="143">
        <v>22</v>
      </c>
      <c r="K48" s="143"/>
      <c r="L48" s="123"/>
      <c r="M48" s="128">
        <v>4503</v>
      </c>
      <c r="N48" s="145"/>
      <c r="O48" s="128"/>
      <c r="P48" s="124">
        <f>ROUND(G48*5%,0)</f>
        <v>396</v>
      </c>
      <c r="Q48" s="128"/>
      <c r="R48" s="124">
        <f t="shared" si="0"/>
        <v>12027</v>
      </c>
      <c r="S48" s="128">
        <f>ROUND(G48*5%,0)</f>
        <v>396</v>
      </c>
      <c r="T48" s="124"/>
    </row>
    <row r="49" spans="1:20" ht="21.75">
      <c r="A49" s="117">
        <v>43</v>
      </c>
      <c r="B49" s="180" t="s">
        <v>163</v>
      </c>
      <c r="C49" s="181">
        <v>6016100144033</v>
      </c>
      <c r="D49" s="97">
        <v>239989001934</v>
      </c>
      <c r="E49" s="182" t="s">
        <v>32</v>
      </c>
      <c r="F49" s="256" t="s">
        <v>169</v>
      </c>
      <c r="G49" s="116">
        <v>25000</v>
      </c>
      <c r="H49" s="99" t="s">
        <v>164</v>
      </c>
      <c r="I49" s="95"/>
      <c r="J49" s="95"/>
      <c r="K49" s="183"/>
      <c r="L49" s="107"/>
      <c r="M49" s="185"/>
      <c r="N49" s="115"/>
      <c r="O49" s="185"/>
      <c r="P49" s="103">
        <v>750</v>
      </c>
      <c r="Q49" s="116"/>
      <c r="R49" s="103">
        <f t="shared" si="0"/>
        <v>24250</v>
      </c>
      <c r="S49" s="116">
        <v>750</v>
      </c>
      <c r="T49" s="100"/>
    </row>
    <row r="50" spans="1:20" ht="21.75">
      <c r="A50" s="121">
        <v>44</v>
      </c>
      <c r="B50" s="141" t="s">
        <v>191</v>
      </c>
      <c r="C50" s="137">
        <v>3220400075728</v>
      </c>
      <c r="D50" s="142">
        <v>3220400075728</v>
      </c>
      <c r="E50" s="143" t="s">
        <v>72</v>
      </c>
      <c r="F50" s="128" t="s">
        <v>168</v>
      </c>
      <c r="G50" s="128">
        <f>I50*J50</f>
        <v>8140</v>
      </c>
      <c r="H50" s="144" t="s">
        <v>194</v>
      </c>
      <c r="I50" s="143">
        <v>440</v>
      </c>
      <c r="J50" s="143">
        <v>18.5</v>
      </c>
      <c r="K50" s="143"/>
      <c r="L50" s="123"/>
      <c r="M50" s="128">
        <v>0</v>
      </c>
      <c r="N50" s="145"/>
      <c r="O50" s="128"/>
      <c r="P50" s="124">
        <f>ROUND(G50*5%,0)</f>
        <v>407</v>
      </c>
      <c r="Q50" s="128"/>
      <c r="R50" s="124">
        <f t="shared" si="0"/>
        <v>7733</v>
      </c>
      <c r="S50" s="128">
        <f>ROUND(G50*5%,0)</f>
        <v>407</v>
      </c>
      <c r="T50" s="124"/>
    </row>
    <row r="51" spans="1:20" ht="21.75">
      <c r="A51" s="121">
        <v>45</v>
      </c>
      <c r="B51" s="141" t="s">
        <v>192</v>
      </c>
      <c r="C51" s="137">
        <v>1499900366870</v>
      </c>
      <c r="D51" s="142">
        <v>1499900366870</v>
      </c>
      <c r="E51" s="143" t="s">
        <v>72</v>
      </c>
      <c r="F51" s="128" t="s">
        <v>168</v>
      </c>
      <c r="G51" s="128">
        <f>I51*J51</f>
        <v>7350</v>
      </c>
      <c r="H51" s="144" t="s">
        <v>194</v>
      </c>
      <c r="I51" s="143">
        <v>350</v>
      </c>
      <c r="J51" s="143">
        <v>21</v>
      </c>
      <c r="K51" s="143"/>
      <c r="L51" s="123"/>
      <c r="M51" s="128">
        <v>0</v>
      </c>
      <c r="N51" s="145"/>
      <c r="O51" s="128"/>
      <c r="P51" s="124">
        <f>ROUND(G51*5%,0)</f>
        <v>368</v>
      </c>
      <c r="Q51" s="128"/>
      <c r="R51" s="124">
        <f t="shared" si="0"/>
        <v>6982</v>
      </c>
      <c r="S51" s="128">
        <f>ROUND(G51*5%,0)</f>
        <v>368</v>
      </c>
      <c r="T51" s="124"/>
    </row>
    <row r="52" spans="1:20" ht="21.75">
      <c r="A52" s="117">
        <v>46</v>
      </c>
      <c r="B52" s="180" t="s">
        <v>193</v>
      </c>
      <c r="C52" s="97">
        <v>1620100023048</v>
      </c>
      <c r="D52" s="181">
        <v>1620100023048</v>
      </c>
      <c r="E52" s="182" t="s">
        <v>44</v>
      </c>
      <c r="F52" s="116" t="s">
        <v>168</v>
      </c>
      <c r="G52" s="116">
        <v>25000</v>
      </c>
      <c r="H52" s="347" t="s">
        <v>194</v>
      </c>
      <c r="I52" s="182"/>
      <c r="J52" s="182"/>
      <c r="K52" s="182"/>
      <c r="L52" s="95"/>
      <c r="M52" s="116">
        <v>0</v>
      </c>
      <c r="N52" s="348"/>
      <c r="O52" s="116"/>
      <c r="P52" s="98">
        <v>750</v>
      </c>
      <c r="Q52" s="116"/>
      <c r="R52" s="98">
        <f t="shared" si="0"/>
        <v>24250</v>
      </c>
      <c r="S52" s="116">
        <v>750</v>
      </c>
      <c r="T52" s="100"/>
    </row>
    <row r="53" spans="1:20" ht="22.5" thickBot="1">
      <c r="A53" s="402" t="s">
        <v>103</v>
      </c>
      <c r="B53" s="402"/>
      <c r="C53" s="402"/>
      <c r="D53" s="402"/>
      <c r="E53" s="402"/>
      <c r="F53" s="402"/>
      <c r="G53" s="89">
        <f>SUM(G7:G52)</f>
        <v>821790</v>
      </c>
      <c r="H53" s="75"/>
      <c r="I53" s="75"/>
      <c r="J53" s="75"/>
      <c r="K53" s="89">
        <f>SUM(K7:K52)</f>
        <v>0</v>
      </c>
      <c r="L53" s="89">
        <f>SUM(L7:L52)</f>
        <v>0</v>
      </c>
      <c r="M53" s="89">
        <f>SUM(M7:M52)</f>
        <v>86839</v>
      </c>
      <c r="N53" s="87"/>
      <c r="O53" s="87"/>
      <c r="P53" s="89">
        <f>SUM(P7:P52)</f>
        <v>29690</v>
      </c>
      <c r="Q53" s="89">
        <f>SUM(Q7:Q52)</f>
        <v>2832</v>
      </c>
      <c r="R53" s="89">
        <f>SUM(R7:R52)</f>
        <v>876107</v>
      </c>
      <c r="S53" s="89">
        <f>SUM(S7:S52)</f>
        <v>29690</v>
      </c>
      <c r="T53" s="310"/>
    </row>
    <row r="54" spans="1:20" ht="23.25" thickTop="1" thickBot="1">
      <c r="A54" s="119"/>
      <c r="B54" s="3"/>
      <c r="C54" s="3"/>
      <c r="D54" s="49"/>
      <c r="E54" s="3"/>
      <c r="F54" s="3"/>
      <c r="G54" s="39"/>
      <c r="H54" s="39"/>
      <c r="I54" s="39"/>
      <c r="J54" s="39"/>
      <c r="K54" s="39"/>
      <c r="L54" s="39"/>
      <c r="M54" s="39"/>
      <c r="N54" s="331"/>
      <c r="O54" s="331"/>
      <c r="P54" s="39"/>
      <c r="Q54" s="166"/>
      <c r="R54" s="39"/>
      <c r="S54" s="76"/>
      <c r="T54" s="5"/>
    </row>
    <row r="55" spans="1:20" ht="66" thickBot="1">
      <c r="A55" s="119"/>
      <c r="B55" s="50" t="s">
        <v>12</v>
      </c>
      <c r="C55" s="3"/>
      <c r="D55" s="49"/>
      <c r="E55" s="3"/>
      <c r="F55" s="3"/>
      <c r="G55" s="39"/>
      <c r="H55" s="156" t="s">
        <v>145</v>
      </c>
      <c r="I55" s="39"/>
      <c r="J55" s="39"/>
      <c r="K55" s="39"/>
      <c r="L55" s="1"/>
      <c r="M55" s="94"/>
      <c r="N55" s="1"/>
      <c r="O55" s="1"/>
      <c r="P55" s="303" t="s">
        <v>158</v>
      </c>
      <c r="Q55" s="153" t="s">
        <v>159</v>
      </c>
      <c r="R55" s="153" t="s">
        <v>190</v>
      </c>
      <c r="S55" s="164" t="s">
        <v>150</v>
      </c>
      <c r="T55" s="153" t="s">
        <v>11</v>
      </c>
    </row>
    <row r="56" spans="1:20" ht="21.75">
      <c r="A56" s="119"/>
      <c r="B56" s="52" t="s">
        <v>156</v>
      </c>
      <c r="C56" s="149"/>
      <c r="D56" s="301"/>
      <c r="E56" s="54" t="s">
        <v>142</v>
      </c>
      <c r="F56" s="54"/>
      <c r="G56" s="55" t="s">
        <v>140</v>
      </c>
      <c r="H56" s="170" t="s">
        <v>141</v>
      </c>
      <c r="I56" s="170">
        <v>13</v>
      </c>
      <c r="J56" s="171" t="s">
        <v>142</v>
      </c>
      <c r="K56" s="148"/>
      <c r="L56" s="1"/>
      <c r="M56" s="94"/>
      <c r="N56" s="1"/>
      <c r="O56" s="1"/>
      <c r="P56" s="16">
        <f>+G27+G28+G33+G35+G36+G37+G38+G39+G40+G42+G48+G50+G51</f>
        <v>101790</v>
      </c>
      <c r="Q56" s="16">
        <f>+P27+P28+P33+P35+P36+P37+P38+P39+P40+P42+P48+P50+P51</f>
        <v>5090</v>
      </c>
      <c r="R56" s="16">
        <f>+M27+M28+M33+M35+M36+M37+M38+M40+M42+M48+M50+M51+M52</f>
        <v>86839</v>
      </c>
      <c r="S56" s="24">
        <v>0</v>
      </c>
      <c r="T56" s="175">
        <f>+R27+R28+R33+R35+R36+R37+R38+R39+R40+R42+R48+R50+R51</f>
        <v>183539</v>
      </c>
    </row>
    <row r="57" spans="1:20" ht="21.75">
      <c r="A57" s="119"/>
      <c r="B57" s="56" t="s">
        <v>137</v>
      </c>
      <c r="C57" s="150"/>
      <c r="D57" s="118"/>
      <c r="E57" s="6" t="s">
        <v>142</v>
      </c>
      <c r="F57" s="6"/>
      <c r="G57" s="190" t="s">
        <v>162</v>
      </c>
      <c r="H57" s="173" t="s">
        <v>144</v>
      </c>
      <c r="I57" s="173">
        <v>33</v>
      </c>
      <c r="J57" s="174" t="s">
        <v>142</v>
      </c>
      <c r="K57" s="148"/>
      <c r="L57" s="1"/>
      <c r="M57" s="94"/>
      <c r="N57" s="1"/>
      <c r="O57" s="1"/>
      <c r="P57" s="16">
        <f>+G7+G8+G9+G10+G11+G12+G13+G14+G15+G16+G17+G18+G19+G20+G21+G22+G23+G24+G25+G26+G29+G30+G31+G32+G34+G41+G43+G44+G45+G46+G47+G49+G52</f>
        <v>720000</v>
      </c>
      <c r="Q57" s="16">
        <f>+P7+P8+P9+P10+P11+P12+P13+P14+P15+P16+P17+P18+P19+P20+P21+P22+P23+P24+P25+P26+P29+P30+P31+P32+P34+P41+P43+P44+P45+P46+P47+P49+P52</f>
        <v>24600</v>
      </c>
      <c r="R57" s="16">
        <f>+M7+M8+M9+M10+M11+M12+M13+M14+M15+M16+M17+M18+M19+M20+M21+M22+M23+M24+M25+M26+M29+M30+M31+M32+M34+M41+M43+M44+M45+M46+M47+M49</f>
        <v>0</v>
      </c>
      <c r="S57" s="24">
        <f>+Q10+Q13+Q14</f>
        <v>2832</v>
      </c>
      <c r="T57" s="16">
        <f>+R7+R8+R9+R10+R11+R12+R13+R14+R15+R16+R17+R18+R19+R20+R21+R22+R23+R24+R25+R26+R29+R30+R31+R32+R34+R41+R43+R44+R45+R46+R47+R49+R52</f>
        <v>692568</v>
      </c>
    </row>
    <row r="58" spans="1:20" ht="24.75" thickBot="1">
      <c r="A58" s="119"/>
      <c r="B58" s="419"/>
      <c r="C58" s="420"/>
      <c r="D58" s="300"/>
      <c r="E58" s="187"/>
      <c r="F58" s="187"/>
      <c r="G58" s="188"/>
      <c r="H58" s="189" t="s">
        <v>147</v>
      </c>
      <c r="I58" s="69">
        <f>SUM(I56:I57)</f>
        <v>46</v>
      </c>
      <c r="J58" s="155" t="s">
        <v>142</v>
      </c>
      <c r="K58" s="154"/>
      <c r="L58" s="154"/>
      <c r="M58" s="307"/>
      <c r="N58" s="1"/>
      <c r="O58" s="1"/>
      <c r="P58" s="308">
        <f>SUM(P56:P57)</f>
        <v>821790</v>
      </c>
      <c r="Q58" s="308">
        <f>SUM(Q56:Q57)</f>
        <v>29690</v>
      </c>
      <c r="R58" s="308">
        <f>SUM(R56:R57)</f>
        <v>86839</v>
      </c>
      <c r="S58" s="309">
        <f>SUM(S56:S57)</f>
        <v>2832</v>
      </c>
      <c r="T58" s="308">
        <f>SUM(T56:T57)</f>
        <v>876107</v>
      </c>
    </row>
    <row r="59" spans="1:20" ht="24">
      <c r="A59" s="119"/>
      <c r="B59" s="311"/>
      <c r="C59" s="311"/>
      <c r="D59" s="311"/>
      <c r="E59" s="1"/>
      <c r="F59" s="1"/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6.25" thickBot="1">
      <c r="A60" s="119"/>
      <c r="B60" s="316"/>
      <c r="C60" s="317"/>
      <c r="D60" s="317"/>
      <c r="E60" s="317"/>
      <c r="F60" s="317"/>
      <c r="G60" s="318"/>
      <c r="H60" s="319"/>
      <c r="I60" s="320"/>
      <c r="J60" s="66"/>
      <c r="K60" s="154"/>
      <c r="L60" s="154"/>
      <c r="M60" s="307"/>
      <c r="N60" s="1"/>
      <c r="O60" s="1"/>
      <c r="P60" s="328"/>
      <c r="Q60" s="39"/>
      <c r="R60" s="39"/>
      <c r="S60" s="39"/>
      <c r="T60" s="314"/>
    </row>
    <row r="61" spans="1:20" ht="24.75" thickBot="1">
      <c r="A61" s="119"/>
      <c r="B61" s="429" t="s">
        <v>214</v>
      </c>
      <c r="C61" s="430"/>
      <c r="D61" s="430"/>
      <c r="E61" s="430"/>
      <c r="F61" s="430"/>
      <c r="G61" s="430"/>
      <c r="H61" s="430"/>
      <c r="I61" s="431"/>
      <c r="J61" s="66"/>
      <c r="K61" s="154"/>
      <c r="L61" s="154"/>
      <c r="M61" s="307"/>
      <c r="N61" s="1"/>
      <c r="O61" s="1"/>
      <c r="P61" s="329"/>
      <c r="Q61" s="306"/>
      <c r="R61" s="39"/>
      <c r="S61" s="39"/>
      <c r="T61" s="314"/>
    </row>
    <row r="62" spans="1:20" ht="65.25">
      <c r="A62" s="119"/>
      <c r="B62" s="42" t="s">
        <v>167</v>
      </c>
      <c r="C62" s="42" t="s">
        <v>158</v>
      </c>
      <c r="D62" s="346" t="s">
        <v>176</v>
      </c>
      <c r="E62" s="346" t="s">
        <v>177</v>
      </c>
      <c r="F62" s="346" t="s">
        <v>215</v>
      </c>
      <c r="G62" s="43" t="s">
        <v>150</v>
      </c>
      <c r="H62" s="346" t="s">
        <v>172</v>
      </c>
      <c r="I62" s="346" t="s">
        <v>216</v>
      </c>
      <c r="J62" s="66"/>
      <c r="K62" s="154"/>
      <c r="L62" s="154"/>
      <c r="M62" s="307"/>
      <c r="N62" s="1"/>
      <c r="O62" s="1"/>
      <c r="P62" s="148"/>
      <c r="Q62" s="292"/>
      <c r="R62" s="4"/>
      <c r="S62" s="4"/>
      <c r="T62" s="314"/>
    </row>
    <row r="63" spans="1:20" ht="21.75">
      <c r="A63" s="120"/>
      <c r="B63" s="199" t="s">
        <v>174</v>
      </c>
      <c r="C63" s="197">
        <f>G7+G12+G15+G16+G17+G18+G19+G22+G23+G24+G25+G26+G27+G28+G29+G32+G33+G35+G36+G37+G38+G39+G40+G41+G42+G44+G45+G46+G48+G50+G51+G52</f>
        <v>552590</v>
      </c>
      <c r="D63" s="197">
        <f>S7+S12+S15+S16+S17+S18+S19+S22+S23+S24+S25+S26+S27+S28+S29+S32+S33+S35+S36+S37+S38+S39+S40+S41+S42+S44+S45+S46+S48+S50+S51+S52</f>
        <v>19340</v>
      </c>
      <c r="E63" s="197">
        <f>P7+P12+P15+P16+P17+P18+P19+P22+P23+P24+P25+P26+P27+P28+P29+P32+P33+P35+P36+P37+P38+P39+P40+P41+P42+P44+P45+P46+P48+P50+P51+P52</f>
        <v>19340</v>
      </c>
      <c r="F63" s="197">
        <f>M28+M35+M36+M37+M38+M40+M42+M48</f>
        <v>86839</v>
      </c>
      <c r="G63" s="197">
        <v>0</v>
      </c>
      <c r="H63" s="197">
        <f>D63+E63</f>
        <v>38680</v>
      </c>
      <c r="I63" s="197">
        <f>+C63+D63+F63-H63-G63</f>
        <v>620089</v>
      </c>
      <c r="J63" s="1"/>
      <c r="K63" s="1"/>
      <c r="L63" s="1"/>
      <c r="M63" s="94"/>
      <c r="N63" s="1"/>
      <c r="O63" s="1"/>
      <c r="P63" s="1"/>
      <c r="Q63" s="168"/>
      <c r="R63" s="1"/>
      <c r="S63" s="76"/>
      <c r="T63" s="1"/>
    </row>
    <row r="64" spans="1:20" ht="21.75">
      <c r="A64" s="120"/>
      <c r="B64" s="191" t="s">
        <v>179</v>
      </c>
      <c r="C64" s="204">
        <f>G8+G9+G10+G11+G13+G14+G20+G21+G30+G31+G34+G43+G47+G49</f>
        <v>269200</v>
      </c>
      <c r="D64" s="204">
        <f>S8+S9+S10+S11+S13+S14+S20+S21+S30+S31+S34+S43+S47+S49</f>
        <v>10350</v>
      </c>
      <c r="E64" s="204">
        <f>P8+P9+P10+P11+P13+P14+P20+P21+P30+P31+P34+P43+P47+P49</f>
        <v>10350</v>
      </c>
      <c r="F64" s="204"/>
      <c r="G64" s="204">
        <f>Q10+Q13+Q14</f>
        <v>2832</v>
      </c>
      <c r="H64" s="204">
        <f>D64+E64</f>
        <v>20700</v>
      </c>
      <c r="I64" s="204">
        <f>+C64+D64+F64-H64-G64</f>
        <v>256018</v>
      </c>
      <c r="J64" s="1"/>
      <c r="K64" s="1"/>
      <c r="L64" s="1"/>
      <c r="M64" s="94"/>
      <c r="N64" s="1"/>
      <c r="O64" s="1"/>
      <c r="P64" s="1"/>
      <c r="Q64" s="168"/>
      <c r="R64" s="1"/>
      <c r="S64" s="76"/>
      <c r="T64" s="1"/>
    </row>
    <row r="65" spans="2:9" ht="24">
      <c r="B65" s="195" t="s">
        <v>147</v>
      </c>
      <c r="C65" s="233">
        <f t="shared" ref="C65:I65" si="4">SUM(C63:C64)</f>
        <v>821790</v>
      </c>
      <c r="D65" s="233">
        <f t="shared" si="4"/>
        <v>29690</v>
      </c>
      <c r="E65" s="233">
        <f t="shared" si="4"/>
        <v>29690</v>
      </c>
      <c r="F65" s="233">
        <f t="shared" si="4"/>
        <v>86839</v>
      </c>
      <c r="G65" s="233">
        <f t="shared" si="4"/>
        <v>2832</v>
      </c>
      <c r="H65" s="233">
        <f t="shared" si="4"/>
        <v>59380</v>
      </c>
      <c r="I65" s="233">
        <f t="shared" si="4"/>
        <v>876107</v>
      </c>
    </row>
  </sheetData>
  <mergeCells count="20"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N5:Q5"/>
    <mergeCell ref="R5:R6"/>
    <mergeCell ref="S5:S6"/>
    <mergeCell ref="B58:C58"/>
    <mergeCell ref="H5:H6"/>
    <mergeCell ref="I5:J5"/>
    <mergeCell ref="K5:M5"/>
    <mergeCell ref="B61:I61"/>
    <mergeCell ref="A53:F53"/>
  </mergeCells>
  <pageMargins left="0.25" right="0.25" top="0.75" bottom="0.75" header="0.3" footer="0.3"/>
  <pageSetup paperSize="9" scale="60" fitToHeight="0" orientation="landscape" horizontalDpi="0" verticalDpi="0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A9CC-7762-4FFA-AB2C-EE469C179316}">
  <sheetPr>
    <pageSetUpPr fitToPage="1"/>
  </sheetPr>
  <dimension ref="A1:T66"/>
  <sheetViews>
    <sheetView topLeftCell="A40" workbookViewId="0">
      <selection activeCell="I78" sqref="I78"/>
    </sheetView>
  </sheetViews>
  <sheetFormatPr defaultRowHeight="15"/>
  <cols>
    <col min="1" max="1" width="6.28515625" customWidth="1"/>
    <col min="2" max="2" width="20.7109375" customWidth="1"/>
    <col min="3" max="3" width="15.42578125" customWidth="1"/>
    <col min="4" max="4" width="16.28515625" customWidth="1"/>
    <col min="5" max="5" width="14.42578125" customWidth="1"/>
    <col min="6" max="6" width="10.5703125" customWidth="1"/>
    <col min="7" max="7" width="10.85546875" customWidth="1"/>
    <col min="8" max="8" width="15.5703125" customWidth="1"/>
    <col min="9" max="9" width="10.85546875" customWidth="1"/>
    <col min="10" max="10" width="7.7109375" customWidth="1"/>
    <col min="11" max="11" width="5.28515625" customWidth="1"/>
    <col min="13" max="13" width="10.140625" customWidth="1"/>
    <col min="14" max="15" width="6.7109375" customWidth="1"/>
    <col min="16" max="16" width="10" customWidth="1"/>
    <col min="17" max="17" width="10.140625" customWidth="1"/>
    <col min="18" max="18" width="11.140625" customWidth="1"/>
    <col min="19" max="19" width="10.42578125" customWidth="1"/>
    <col min="20" max="20" width="14.28515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213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750</v>
      </c>
      <c r="Q7" s="98"/>
      <c r="R7" s="103">
        <f>SUM(G7+M7-P7-Q7)</f>
        <v>15250</v>
      </c>
      <c r="S7" s="116">
        <v>750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f>ROUND(G8*5%,0)</f>
        <v>725</v>
      </c>
      <c r="Q8" s="98"/>
      <c r="R8" s="103">
        <f t="shared" ref="R8:R50" si="0">SUM(G8+M8-P8-Q8)</f>
        <v>13775</v>
      </c>
      <c r="S8" s="116">
        <f>ROUND(G8*5%,0)</f>
        <v>725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f>ROUND(G9*5%,0)</f>
        <v>725</v>
      </c>
      <c r="Q9" s="98"/>
      <c r="R9" s="103">
        <f t="shared" si="0"/>
        <v>13775</v>
      </c>
      <c r="S9" s="116">
        <f>ROUND(G9*5%,0)</f>
        <v>725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651</v>
      </c>
      <c r="R10" s="103">
        <f t="shared" si="0"/>
        <v>16099</v>
      </c>
      <c r="S10" s="116">
        <v>750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18250</v>
      </c>
      <c r="S11" s="116">
        <v>750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20250</v>
      </c>
      <c r="S12" s="116">
        <v>750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193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705</v>
      </c>
      <c r="R13" s="103">
        <f t="shared" si="0"/>
        <v>21545</v>
      </c>
      <c r="S13" s="116">
        <v>750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/>
      <c r="R14" s="103">
        <f t="shared" si="0"/>
        <v>24250</v>
      </c>
      <c r="S14" s="116">
        <v>750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20250</v>
      </c>
      <c r="S15" s="116">
        <v>750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18250</v>
      </c>
      <c r="S16" s="116">
        <v>750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24250</v>
      </c>
      <c r="S17" s="116">
        <v>750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23050</v>
      </c>
      <c r="S18" s="116">
        <v>750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193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24250</v>
      </c>
      <c r="S19" s="116">
        <v>750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193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24250</v>
      </c>
      <c r="S20" s="116">
        <v>750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v>750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v>750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v>750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v>750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v>750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9240</v>
      </c>
      <c r="H26" s="123"/>
      <c r="I26" s="123">
        <v>440</v>
      </c>
      <c r="J26" s="123">
        <v>21</v>
      </c>
      <c r="K26" s="123"/>
      <c r="L26" s="123"/>
      <c r="M26" s="124"/>
      <c r="N26" s="126"/>
      <c r="O26" s="124"/>
      <c r="P26" s="124">
        <f>ROUND(G26*5%,0)</f>
        <v>462</v>
      </c>
      <c r="Q26" s="135"/>
      <c r="R26" s="124">
        <f t="shared" si="0"/>
        <v>8778</v>
      </c>
      <c r="S26" s="128">
        <f>ROUND(G26*5%,0)</f>
        <v>462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8510</v>
      </c>
      <c r="H27" s="123"/>
      <c r="I27" s="123">
        <v>370</v>
      </c>
      <c r="J27" s="123">
        <v>23</v>
      </c>
      <c r="K27" s="123"/>
      <c r="L27" s="123"/>
      <c r="M27" s="124">
        <v>15535</v>
      </c>
      <c r="N27" s="126"/>
      <c r="O27" s="124"/>
      <c r="P27" s="124">
        <f>ROUND(G27*5%,0)</f>
        <v>426</v>
      </c>
      <c r="Q27" s="135"/>
      <c r="R27" s="124">
        <f t="shared" si="0"/>
        <v>23619</v>
      </c>
      <c r="S27" s="128">
        <f>ROUND(G27*5%,0)</f>
        <v>426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750</v>
      </c>
      <c r="Q28" s="98"/>
      <c r="R28" s="103">
        <f t="shared" si="0"/>
        <v>24250</v>
      </c>
      <c r="S28" s="98">
        <v>750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193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16250</v>
      </c>
      <c r="S29" s="116">
        <v>750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261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750</v>
      </c>
      <c r="Q30" s="98"/>
      <c r="R30" s="103">
        <f t="shared" si="0"/>
        <v>16250</v>
      </c>
      <c r="S30" s="116">
        <v>750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750</v>
      </c>
      <c r="Q31" s="98"/>
      <c r="R31" s="103">
        <f t="shared" si="0"/>
        <v>24250</v>
      </c>
      <c r="S31" s="116">
        <v>750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8820</v>
      </c>
      <c r="H32" s="125" t="s">
        <v>88</v>
      </c>
      <c r="I32" s="123">
        <v>420</v>
      </c>
      <c r="J32" s="123">
        <v>21</v>
      </c>
      <c r="K32" s="123"/>
      <c r="L32" s="123"/>
      <c r="M32" s="124"/>
      <c r="N32" s="126"/>
      <c r="O32" s="124"/>
      <c r="P32" s="124">
        <f>ROUND(G32*5%,0)</f>
        <v>441</v>
      </c>
      <c r="Q32" s="135"/>
      <c r="R32" s="124">
        <f t="shared" si="0"/>
        <v>8379</v>
      </c>
      <c r="S32" s="128">
        <f>ROUND(G32*5%,0)</f>
        <v>441</v>
      </c>
      <c r="T32" s="124"/>
    </row>
    <row r="33" spans="1:20" ht="21.75">
      <c r="A33" s="117">
        <v>27</v>
      </c>
      <c r="B33" s="106" t="s">
        <v>91</v>
      </c>
      <c r="C33" s="107" t="s">
        <v>92</v>
      </c>
      <c r="D33" s="97">
        <v>1220400111680</v>
      </c>
      <c r="E33" s="107" t="s">
        <v>32</v>
      </c>
      <c r="F33" s="193" t="s">
        <v>169</v>
      </c>
      <c r="G33" s="103">
        <v>17200</v>
      </c>
      <c r="H33" s="108" t="s">
        <v>93</v>
      </c>
      <c r="I33" s="107"/>
      <c r="J33" s="107"/>
      <c r="K33" s="107"/>
      <c r="L33" s="107"/>
      <c r="M33" s="103"/>
      <c r="N33" s="109"/>
      <c r="O33" s="103"/>
      <c r="P33" s="103">
        <v>750</v>
      </c>
      <c r="Q33" s="98"/>
      <c r="R33" s="103">
        <f t="shared" si="0"/>
        <v>16450</v>
      </c>
      <c r="S33" s="116">
        <v>750</v>
      </c>
      <c r="T33" s="100"/>
    </row>
    <row r="34" spans="1:20" ht="21.75">
      <c r="A34" s="121">
        <v>28</v>
      </c>
      <c r="B34" s="122" t="s">
        <v>94</v>
      </c>
      <c r="C34" s="130">
        <v>6016200526744</v>
      </c>
      <c r="D34" s="137">
        <v>991016244128</v>
      </c>
      <c r="E34" s="123" t="s">
        <v>95</v>
      </c>
      <c r="F34" s="124" t="s">
        <v>168</v>
      </c>
      <c r="G34" s="124">
        <f>I34*J34</f>
        <v>8160</v>
      </c>
      <c r="H34" s="125" t="s">
        <v>96</v>
      </c>
      <c r="I34" s="123">
        <v>340</v>
      </c>
      <c r="J34" s="123">
        <v>24</v>
      </c>
      <c r="K34" s="123"/>
      <c r="L34" s="123"/>
      <c r="M34" s="124">
        <v>15157</v>
      </c>
      <c r="N34" s="126"/>
      <c r="O34" s="124"/>
      <c r="P34" s="124">
        <f t="shared" ref="P34:P39" si="1">ROUND(G34*5%,0)</f>
        <v>408</v>
      </c>
      <c r="Q34" s="135"/>
      <c r="R34" s="124">
        <f t="shared" si="0"/>
        <v>22909</v>
      </c>
      <c r="S34" s="128">
        <f t="shared" ref="S34:S39" si="2">ROUND(G34*5%,0)</f>
        <v>408</v>
      </c>
      <c r="T34" s="124"/>
    </row>
    <row r="35" spans="1:20" ht="21.75">
      <c r="A35" s="121">
        <v>29</v>
      </c>
      <c r="B35" s="122" t="s">
        <v>97</v>
      </c>
      <c r="C35" s="130">
        <v>6016200526680</v>
      </c>
      <c r="D35" s="137">
        <v>991016243920</v>
      </c>
      <c r="E35" s="123" t="s">
        <v>95</v>
      </c>
      <c r="F35" s="124" t="s">
        <v>168</v>
      </c>
      <c r="G35" s="124">
        <f t="shared" ref="G35:G39" si="3">I35*J35</f>
        <v>8160</v>
      </c>
      <c r="H35" s="125" t="s">
        <v>96</v>
      </c>
      <c r="I35" s="123">
        <v>340</v>
      </c>
      <c r="J35" s="123">
        <v>24</v>
      </c>
      <c r="K35" s="123"/>
      <c r="L35" s="123"/>
      <c r="M35" s="124">
        <v>15157</v>
      </c>
      <c r="N35" s="126"/>
      <c r="O35" s="124"/>
      <c r="P35" s="124">
        <f t="shared" si="1"/>
        <v>408</v>
      </c>
      <c r="Q35" s="135"/>
      <c r="R35" s="124">
        <f t="shared" si="0"/>
        <v>22909</v>
      </c>
      <c r="S35" s="128">
        <f t="shared" si="2"/>
        <v>408</v>
      </c>
      <c r="T35" s="124"/>
    </row>
    <row r="36" spans="1:20" ht="21.75">
      <c r="A36" s="121">
        <v>30</v>
      </c>
      <c r="B36" s="122" t="s">
        <v>98</v>
      </c>
      <c r="C36" s="130">
        <v>6016200526639</v>
      </c>
      <c r="D36" s="137">
        <v>991016243091</v>
      </c>
      <c r="E36" s="123" t="s">
        <v>95</v>
      </c>
      <c r="F36" s="124" t="s">
        <v>168</v>
      </c>
      <c r="G36" s="124">
        <f t="shared" si="3"/>
        <v>8160</v>
      </c>
      <c r="H36" s="125" t="s">
        <v>96</v>
      </c>
      <c r="I36" s="123">
        <v>340</v>
      </c>
      <c r="J36" s="123">
        <v>24</v>
      </c>
      <c r="K36" s="123"/>
      <c r="L36" s="123"/>
      <c r="M36" s="124">
        <v>15157</v>
      </c>
      <c r="N36" s="126"/>
      <c r="O36" s="124"/>
      <c r="P36" s="124">
        <f t="shared" si="1"/>
        <v>408</v>
      </c>
      <c r="Q36" s="135"/>
      <c r="R36" s="124">
        <f t="shared" si="0"/>
        <v>22909</v>
      </c>
      <c r="S36" s="128">
        <f t="shared" si="2"/>
        <v>408</v>
      </c>
      <c r="T36" s="124"/>
    </row>
    <row r="37" spans="1:20" ht="21.75">
      <c r="A37" s="121">
        <v>31</v>
      </c>
      <c r="B37" s="122" t="s">
        <v>99</v>
      </c>
      <c r="C37" s="130">
        <v>6016200526591</v>
      </c>
      <c r="D37" s="137">
        <v>991016242486</v>
      </c>
      <c r="E37" s="123" t="s">
        <v>95</v>
      </c>
      <c r="F37" s="124" t="s">
        <v>168</v>
      </c>
      <c r="G37" s="124">
        <f t="shared" si="3"/>
        <v>7820</v>
      </c>
      <c r="H37" s="125" t="s">
        <v>96</v>
      </c>
      <c r="I37" s="123">
        <v>340</v>
      </c>
      <c r="J37" s="123">
        <v>23</v>
      </c>
      <c r="K37" s="123"/>
      <c r="L37" s="123"/>
      <c r="M37" s="124">
        <v>14817</v>
      </c>
      <c r="N37" s="126"/>
      <c r="O37" s="124"/>
      <c r="P37" s="124">
        <f t="shared" si="1"/>
        <v>391</v>
      </c>
      <c r="Q37" s="135"/>
      <c r="R37" s="124">
        <f t="shared" si="0"/>
        <v>22246</v>
      </c>
      <c r="S37" s="128">
        <f t="shared" si="2"/>
        <v>391</v>
      </c>
      <c r="T37" s="124"/>
    </row>
    <row r="38" spans="1:20" ht="21.75">
      <c r="A38" s="121">
        <v>32</v>
      </c>
      <c r="B38" s="131" t="s">
        <v>108</v>
      </c>
      <c r="C38" s="132" t="s">
        <v>109</v>
      </c>
      <c r="D38" s="137">
        <v>1229900526551</v>
      </c>
      <c r="E38" s="132" t="s">
        <v>72</v>
      </c>
      <c r="F38" s="124" t="s">
        <v>168</v>
      </c>
      <c r="G38" s="124">
        <f t="shared" si="3"/>
        <v>10120</v>
      </c>
      <c r="H38" s="133" t="s">
        <v>107</v>
      </c>
      <c r="I38" s="132">
        <v>440</v>
      </c>
      <c r="J38" s="132">
        <v>23</v>
      </c>
      <c r="K38" s="132"/>
      <c r="L38" s="123"/>
      <c r="M38" s="135"/>
      <c r="N38" s="134"/>
      <c r="O38" s="135"/>
      <c r="P38" s="124">
        <f t="shared" si="1"/>
        <v>506</v>
      </c>
      <c r="Q38" s="135"/>
      <c r="R38" s="124">
        <f t="shared" si="0"/>
        <v>9614</v>
      </c>
      <c r="S38" s="128">
        <f t="shared" si="2"/>
        <v>506</v>
      </c>
      <c r="T38" s="124"/>
    </row>
    <row r="39" spans="1:20" ht="21.75">
      <c r="A39" s="121">
        <v>33</v>
      </c>
      <c r="B39" s="131" t="s">
        <v>112</v>
      </c>
      <c r="C39" s="137">
        <v>6016300837709</v>
      </c>
      <c r="D39" s="137">
        <v>991019747724</v>
      </c>
      <c r="E39" s="132" t="s">
        <v>95</v>
      </c>
      <c r="F39" s="124" t="s">
        <v>168</v>
      </c>
      <c r="G39" s="124">
        <f t="shared" si="3"/>
        <v>7820</v>
      </c>
      <c r="H39" s="133" t="s">
        <v>111</v>
      </c>
      <c r="I39" s="132">
        <v>340</v>
      </c>
      <c r="J39" s="132">
        <v>23</v>
      </c>
      <c r="K39" s="132"/>
      <c r="L39" s="132"/>
      <c r="M39" s="135">
        <v>14817</v>
      </c>
      <c r="N39" s="134"/>
      <c r="O39" s="135"/>
      <c r="P39" s="124">
        <f t="shared" si="1"/>
        <v>391</v>
      </c>
      <c r="Q39" s="135"/>
      <c r="R39" s="124">
        <f t="shared" si="0"/>
        <v>22246</v>
      </c>
      <c r="S39" s="128">
        <f t="shared" si="2"/>
        <v>391</v>
      </c>
      <c r="T39" s="124"/>
    </row>
    <row r="40" spans="1:20" ht="21.75">
      <c r="A40" s="117">
        <v>34</v>
      </c>
      <c r="B40" s="106" t="s">
        <v>100</v>
      </c>
      <c r="C40" s="111">
        <v>1101500149087</v>
      </c>
      <c r="D40" s="97">
        <v>1101500149087</v>
      </c>
      <c r="E40" s="107" t="s">
        <v>44</v>
      </c>
      <c r="F40" s="198" t="s">
        <v>168</v>
      </c>
      <c r="G40" s="103">
        <v>25000</v>
      </c>
      <c r="H40" s="112" t="s">
        <v>101</v>
      </c>
      <c r="I40" s="107"/>
      <c r="J40" s="107"/>
      <c r="K40" s="107"/>
      <c r="L40" s="107"/>
      <c r="M40" s="103"/>
      <c r="N40" s="109"/>
      <c r="O40" s="103"/>
      <c r="P40" s="103">
        <v>750</v>
      </c>
      <c r="Q40" s="98"/>
      <c r="R40" s="103">
        <f t="shared" si="0"/>
        <v>24250</v>
      </c>
      <c r="S40" s="116">
        <v>750</v>
      </c>
      <c r="T40" s="100"/>
    </row>
    <row r="41" spans="1:20" ht="21.75">
      <c r="A41" s="121">
        <v>35</v>
      </c>
      <c r="B41" s="122" t="s">
        <v>102</v>
      </c>
      <c r="C41" s="130">
        <v>6016201374921</v>
      </c>
      <c r="D41" s="137">
        <v>991017408884</v>
      </c>
      <c r="E41" s="123" t="s">
        <v>95</v>
      </c>
      <c r="F41" s="124" t="s">
        <v>168</v>
      </c>
      <c r="G41" s="124">
        <f>+I41*J41</f>
        <v>8160</v>
      </c>
      <c r="H41" s="138" t="s">
        <v>106</v>
      </c>
      <c r="I41" s="123">
        <v>340</v>
      </c>
      <c r="J41" s="123">
        <v>24</v>
      </c>
      <c r="K41" s="123"/>
      <c r="L41" s="123"/>
      <c r="M41" s="124">
        <v>15157</v>
      </c>
      <c r="N41" s="126"/>
      <c r="O41" s="124"/>
      <c r="P41" s="124">
        <f>ROUND(G41*5%,0)</f>
        <v>408</v>
      </c>
      <c r="Q41" s="135"/>
      <c r="R41" s="124">
        <f t="shared" si="0"/>
        <v>22909</v>
      </c>
      <c r="S41" s="128">
        <f>ROUND(G41*5%,0)</f>
        <v>408</v>
      </c>
      <c r="T41" s="124"/>
    </row>
    <row r="42" spans="1:20" ht="21.75">
      <c r="A42" s="117">
        <v>36</v>
      </c>
      <c r="B42" s="96" t="s">
        <v>114</v>
      </c>
      <c r="C42" s="97">
        <v>1419900221235</v>
      </c>
      <c r="D42" s="97">
        <v>1419900221235</v>
      </c>
      <c r="E42" s="95" t="s">
        <v>32</v>
      </c>
      <c r="F42" s="261" t="s">
        <v>169</v>
      </c>
      <c r="G42" s="98">
        <v>13000</v>
      </c>
      <c r="H42" s="99" t="s">
        <v>115</v>
      </c>
      <c r="I42" s="100"/>
      <c r="J42" s="100"/>
      <c r="K42" s="100"/>
      <c r="L42" s="107"/>
      <c r="M42" s="102"/>
      <c r="N42" s="101"/>
      <c r="O42" s="102"/>
      <c r="P42" s="103">
        <f>ROUND(G42*5%,0)</f>
        <v>650</v>
      </c>
      <c r="Q42" s="98"/>
      <c r="R42" s="103">
        <f t="shared" si="0"/>
        <v>12350</v>
      </c>
      <c r="S42" s="116">
        <f>ROUND(G42*5%,0)</f>
        <v>650</v>
      </c>
      <c r="T42" s="100"/>
    </row>
    <row r="43" spans="1:20" ht="21.75">
      <c r="A43" s="117">
        <v>37</v>
      </c>
      <c r="B43" s="96" t="s">
        <v>118</v>
      </c>
      <c r="C43" s="97">
        <v>1229900643638</v>
      </c>
      <c r="D43" s="97">
        <v>1229900643638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750</v>
      </c>
      <c r="Q43" s="98"/>
      <c r="R43" s="103">
        <f t="shared" si="0"/>
        <v>24250</v>
      </c>
      <c r="S43" s="116">
        <v>750</v>
      </c>
      <c r="T43" s="100"/>
    </row>
    <row r="44" spans="1:20" ht="21.75">
      <c r="A44" s="117">
        <v>38</v>
      </c>
      <c r="B44" s="96" t="s">
        <v>120</v>
      </c>
      <c r="C44" s="97">
        <v>3402000037896</v>
      </c>
      <c r="D44" s="97">
        <v>3402000037896</v>
      </c>
      <c r="E44" s="95" t="s">
        <v>44</v>
      </c>
      <c r="F44" s="248" t="s">
        <v>168</v>
      </c>
      <c r="G44" s="98">
        <v>25000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750</v>
      </c>
      <c r="Q44" s="98"/>
      <c r="R44" s="103">
        <f t="shared" si="0"/>
        <v>24250</v>
      </c>
      <c r="S44" s="116">
        <v>750</v>
      </c>
      <c r="T44" s="100"/>
    </row>
    <row r="45" spans="1:20" ht="21.75">
      <c r="A45" s="117">
        <v>39</v>
      </c>
      <c r="B45" s="96" t="s">
        <v>121</v>
      </c>
      <c r="C45" s="97">
        <v>3341600658671</v>
      </c>
      <c r="D45" s="97">
        <v>3341600658671</v>
      </c>
      <c r="E45" s="95" t="s">
        <v>44</v>
      </c>
      <c r="F45" s="248" t="s">
        <v>168</v>
      </c>
      <c r="G45" s="98">
        <v>25000</v>
      </c>
      <c r="H45" s="99" t="s">
        <v>119</v>
      </c>
      <c r="I45" s="95"/>
      <c r="J45" s="95"/>
      <c r="K45" s="95"/>
      <c r="L45" s="107"/>
      <c r="M45" s="98"/>
      <c r="N45" s="115"/>
      <c r="O45" s="98"/>
      <c r="P45" s="103">
        <v>750</v>
      </c>
      <c r="Q45" s="98"/>
      <c r="R45" s="103">
        <f t="shared" si="0"/>
        <v>24250</v>
      </c>
      <c r="S45" s="116">
        <v>750</v>
      </c>
      <c r="T45" s="100"/>
    </row>
    <row r="46" spans="1:20" ht="21.75">
      <c r="A46" s="117">
        <v>40</v>
      </c>
      <c r="B46" s="96" t="s">
        <v>122</v>
      </c>
      <c r="C46" s="97">
        <v>3930100204585</v>
      </c>
      <c r="D46" s="97">
        <v>3930100204585</v>
      </c>
      <c r="E46" s="95" t="s">
        <v>19</v>
      </c>
      <c r="F46" s="261" t="s">
        <v>169</v>
      </c>
      <c r="G46" s="98">
        <v>16500</v>
      </c>
      <c r="H46" s="99" t="s">
        <v>119</v>
      </c>
      <c r="I46" s="95"/>
      <c r="J46" s="95"/>
      <c r="K46" s="95"/>
      <c r="L46" s="107"/>
      <c r="M46" s="98"/>
      <c r="N46" s="115"/>
      <c r="O46" s="98"/>
      <c r="P46" s="103">
        <v>750</v>
      </c>
      <c r="Q46" s="98"/>
      <c r="R46" s="103">
        <f t="shared" si="0"/>
        <v>15750</v>
      </c>
      <c r="S46" s="116">
        <v>750</v>
      </c>
      <c r="T46" s="100"/>
    </row>
    <row r="47" spans="1:20" ht="21.75">
      <c r="A47" s="121">
        <v>41</v>
      </c>
      <c r="B47" s="141" t="s">
        <v>138</v>
      </c>
      <c r="C47" s="142">
        <v>1461000135963</v>
      </c>
      <c r="D47" s="137">
        <v>1461000135963</v>
      </c>
      <c r="E47" s="143" t="s">
        <v>95</v>
      </c>
      <c r="F47" s="128" t="s">
        <v>168</v>
      </c>
      <c r="G47" s="128">
        <f>I47*J47</f>
        <v>8280</v>
      </c>
      <c r="H47" s="144" t="s">
        <v>139</v>
      </c>
      <c r="I47" s="143">
        <v>360</v>
      </c>
      <c r="J47" s="143">
        <v>23</v>
      </c>
      <c r="K47" s="143"/>
      <c r="L47" s="123"/>
      <c r="M47" s="128">
        <v>15305</v>
      </c>
      <c r="N47" s="145"/>
      <c r="O47" s="128"/>
      <c r="P47" s="124">
        <f>ROUND(G47*5%,0)</f>
        <v>414</v>
      </c>
      <c r="Q47" s="128"/>
      <c r="R47" s="124">
        <f t="shared" si="0"/>
        <v>23171</v>
      </c>
      <c r="S47" s="128">
        <f>ROUND(G47*5%,0)</f>
        <v>414</v>
      </c>
      <c r="T47" s="124"/>
    </row>
    <row r="48" spans="1:20" ht="21.75">
      <c r="A48" s="117">
        <v>42</v>
      </c>
      <c r="B48" s="180" t="s">
        <v>163</v>
      </c>
      <c r="C48" s="181">
        <v>6016100144033</v>
      </c>
      <c r="D48" s="97">
        <v>239989001934</v>
      </c>
      <c r="E48" s="182" t="s">
        <v>32</v>
      </c>
      <c r="F48" s="256" t="s">
        <v>169</v>
      </c>
      <c r="G48" s="116">
        <v>26000</v>
      </c>
      <c r="H48" s="99" t="s">
        <v>164</v>
      </c>
      <c r="I48" s="95"/>
      <c r="J48" s="95"/>
      <c r="K48" s="183"/>
      <c r="L48" s="107"/>
      <c r="M48" s="185"/>
      <c r="N48" s="115"/>
      <c r="O48" s="185"/>
      <c r="P48" s="103">
        <v>750</v>
      </c>
      <c r="Q48" s="116"/>
      <c r="R48" s="103">
        <f t="shared" si="0"/>
        <v>25250</v>
      </c>
      <c r="S48" s="116">
        <v>750</v>
      </c>
      <c r="T48" s="100" t="s">
        <v>211</v>
      </c>
    </row>
    <row r="49" spans="1:20" ht="21.75">
      <c r="A49" s="121">
        <v>43</v>
      </c>
      <c r="B49" s="141" t="s">
        <v>191</v>
      </c>
      <c r="C49" s="137">
        <v>3220400075728</v>
      </c>
      <c r="D49" s="142">
        <v>3220400075728</v>
      </c>
      <c r="E49" s="143" t="s">
        <v>72</v>
      </c>
      <c r="F49" s="128" t="s">
        <v>168</v>
      </c>
      <c r="G49" s="128">
        <f>I49*J49</f>
        <v>10120</v>
      </c>
      <c r="H49" s="144" t="s">
        <v>194</v>
      </c>
      <c r="I49" s="143">
        <v>440</v>
      </c>
      <c r="J49" s="143">
        <v>23</v>
      </c>
      <c r="K49" s="143"/>
      <c r="L49" s="123"/>
      <c r="M49" s="128">
        <v>0</v>
      </c>
      <c r="N49" s="145"/>
      <c r="O49" s="128"/>
      <c r="P49" s="124">
        <f>ROUND(G49*5%,0)</f>
        <v>506</v>
      </c>
      <c r="Q49" s="128"/>
      <c r="R49" s="124">
        <f t="shared" si="0"/>
        <v>9614</v>
      </c>
      <c r="S49" s="128">
        <f>ROUND(G49*5%,0)</f>
        <v>506</v>
      </c>
      <c r="T49" s="124"/>
    </row>
    <row r="50" spans="1:20" ht="21.75">
      <c r="A50" s="121">
        <v>44</v>
      </c>
      <c r="B50" s="141" t="s">
        <v>192</v>
      </c>
      <c r="C50" s="137">
        <v>1499900366870</v>
      </c>
      <c r="D50" s="142">
        <v>1499900366870</v>
      </c>
      <c r="E50" s="143" t="s">
        <v>72</v>
      </c>
      <c r="F50" s="128" t="s">
        <v>168</v>
      </c>
      <c r="G50" s="128">
        <f>I50*J50</f>
        <v>5600</v>
      </c>
      <c r="H50" s="144" t="s">
        <v>194</v>
      </c>
      <c r="I50" s="143">
        <v>350</v>
      </c>
      <c r="J50" s="143">
        <v>16</v>
      </c>
      <c r="K50" s="143"/>
      <c r="L50" s="123"/>
      <c r="M50" s="128">
        <v>0</v>
      </c>
      <c r="N50" s="145"/>
      <c r="O50" s="128"/>
      <c r="P50" s="124">
        <f>ROUND(G50*5%,0)</f>
        <v>280</v>
      </c>
      <c r="Q50" s="128"/>
      <c r="R50" s="124">
        <f t="shared" si="0"/>
        <v>5320</v>
      </c>
      <c r="S50" s="128">
        <f>ROUND(G50*5%,0)</f>
        <v>280</v>
      </c>
      <c r="T50" s="124"/>
    </row>
    <row r="51" spans="1:20" ht="22.5" thickBot="1">
      <c r="A51" s="402" t="s">
        <v>103</v>
      </c>
      <c r="B51" s="402"/>
      <c r="C51" s="402"/>
      <c r="D51" s="402"/>
      <c r="E51" s="402"/>
      <c r="F51" s="402"/>
      <c r="G51" s="89">
        <f>SUM(G7:G50)</f>
        <v>779970</v>
      </c>
      <c r="H51" s="75"/>
      <c r="I51" s="75"/>
      <c r="J51" s="75"/>
      <c r="K51" s="89">
        <f>SUM(K7:K50)</f>
        <v>0</v>
      </c>
      <c r="L51" s="89">
        <f>SUM(L7:L50)</f>
        <v>0</v>
      </c>
      <c r="M51" s="89">
        <f>SUM(M7:M50)</f>
        <v>121102</v>
      </c>
      <c r="N51" s="87"/>
      <c r="O51" s="87"/>
      <c r="P51" s="89">
        <f>SUM(P7:P50)</f>
        <v>28549</v>
      </c>
      <c r="Q51" s="89">
        <f>SUM(Q7:Q50)</f>
        <v>1356</v>
      </c>
      <c r="R51" s="89">
        <f>SUM(R7:R50)</f>
        <v>871167</v>
      </c>
      <c r="S51" s="89">
        <f>SUM(S7:S50)</f>
        <v>28549</v>
      </c>
      <c r="T51" s="310"/>
    </row>
    <row r="52" spans="1:20" ht="23.25" thickTop="1" thickBot="1">
      <c r="A52" s="119"/>
      <c r="B52" s="3"/>
      <c r="C52" s="3"/>
      <c r="D52" s="49"/>
      <c r="E52" s="3"/>
      <c r="F52" s="3"/>
      <c r="G52" s="39"/>
      <c r="H52" s="39"/>
      <c r="I52" s="39"/>
      <c r="J52" s="39"/>
      <c r="K52" s="39"/>
      <c r="L52" s="39"/>
      <c r="M52" s="39"/>
      <c r="N52" s="331"/>
      <c r="O52" s="331"/>
      <c r="P52" s="39"/>
      <c r="Q52" s="166"/>
      <c r="R52" s="39"/>
      <c r="S52" s="76"/>
      <c r="T52" s="5"/>
    </row>
    <row r="53" spans="1:20" ht="66" thickBot="1">
      <c r="A53" s="119"/>
      <c r="B53" s="50" t="s">
        <v>12</v>
      </c>
      <c r="C53" s="3"/>
      <c r="D53" s="49"/>
      <c r="E53" s="3"/>
      <c r="F53" s="3"/>
      <c r="G53" s="39"/>
      <c r="H53" s="156" t="s">
        <v>145</v>
      </c>
      <c r="I53" s="39"/>
      <c r="J53" s="39"/>
      <c r="K53" s="39"/>
      <c r="L53" s="1"/>
      <c r="M53" s="94"/>
      <c r="N53" s="1"/>
      <c r="O53" s="1"/>
      <c r="P53" s="303" t="s">
        <v>158</v>
      </c>
      <c r="Q53" s="153" t="s">
        <v>159</v>
      </c>
      <c r="R53" s="153" t="s">
        <v>190</v>
      </c>
      <c r="S53" s="164" t="s">
        <v>150</v>
      </c>
      <c r="T53" s="153" t="s">
        <v>11</v>
      </c>
    </row>
    <row r="54" spans="1:20" ht="21.75">
      <c r="A54" s="119"/>
      <c r="B54" s="52" t="s">
        <v>156</v>
      </c>
      <c r="C54" s="149"/>
      <c r="D54" s="149">
        <v>2</v>
      </c>
      <c r="E54" s="54" t="s">
        <v>142</v>
      </c>
      <c r="F54" s="54"/>
      <c r="G54" s="55" t="s">
        <v>140</v>
      </c>
      <c r="H54" s="170" t="s">
        <v>141</v>
      </c>
      <c r="I54" s="170">
        <v>13</v>
      </c>
      <c r="J54" s="171" t="s">
        <v>142</v>
      </c>
      <c r="K54" s="148"/>
      <c r="L54" s="1"/>
      <c r="M54" s="94"/>
      <c r="N54" s="1"/>
      <c r="O54" s="1"/>
      <c r="P54" s="16">
        <f>+G26+G27+G32+G34+G35+G36+G37+G38+G39+G41+G47+G49+G50</f>
        <v>108970</v>
      </c>
      <c r="Q54" s="16">
        <f>+P26+P27+P32+P34+P35+P36+P37+P38+P39+P41+P47+P49+P50</f>
        <v>5449</v>
      </c>
      <c r="R54" s="16">
        <f>+M26+M27+M32+M34+M35+M36+M37+M39+M41+M47+M49+M50</f>
        <v>121102</v>
      </c>
      <c r="S54" s="24">
        <v>0</v>
      </c>
      <c r="T54" s="175">
        <f>+R26+R27+R32+R34+R35+R36+R37+R38+R39+R41+R47+R49+R50</f>
        <v>224623</v>
      </c>
    </row>
    <row r="55" spans="1:20" ht="21.75">
      <c r="A55" s="119"/>
      <c r="B55" s="56" t="s">
        <v>137</v>
      </c>
      <c r="C55" s="150"/>
      <c r="D55" s="118"/>
      <c r="E55" s="6" t="s">
        <v>142</v>
      </c>
      <c r="F55" s="6"/>
      <c r="G55" s="190" t="s">
        <v>162</v>
      </c>
      <c r="H55" s="173" t="s">
        <v>144</v>
      </c>
      <c r="I55" s="173">
        <v>31</v>
      </c>
      <c r="J55" s="174" t="s">
        <v>142</v>
      </c>
      <c r="K55" s="148"/>
      <c r="L55" s="1"/>
      <c r="M55" s="94"/>
      <c r="N55" s="1"/>
      <c r="O55" s="1"/>
      <c r="P55" s="16">
        <f>+G7+G8+G9+G10+G11+G12+G13+G14+G15+G16+G17+G18+G19+G20+G21+G22+G23+G24+G25+G28+G29+G30+G31+G33+G40+G42+G43+G44+G45+G46+G48</f>
        <v>671000</v>
      </c>
      <c r="Q55" s="16">
        <f>+P7+P8+P9+P10+P11+P12+P13+P14+P15+P16+P17+P18+P19+P20+P21+P22+P23+P24+P25+P28+P29+P30+P31+P33+P40+P42+P43+P44+P45+P46+P48</f>
        <v>23100</v>
      </c>
      <c r="R55" s="16">
        <f>+M7+M8+M9+M10+M11+M12+M13+M14+M15+M16+M17+M18+M19+M20+M21+M22+M23+M24+M25+M28+M29+M30+M31+M33+M40+M42+M43+M44+M45+M46+M48</f>
        <v>0</v>
      </c>
      <c r="S55" s="24">
        <f>+Q10+Q13</f>
        <v>1356</v>
      </c>
      <c r="T55" s="16">
        <f>+R7+R8+R9+R10+R11+R12+R13+R14+R15+R16+R17+R18+R19+R20+R21+R22+R23+R24+R25+R28+R29+R30+R31+R33+R40+R42+R43+R44+R45+R46+R48</f>
        <v>646544</v>
      </c>
    </row>
    <row r="56" spans="1:20" ht="21.75" customHeight="1" thickBot="1">
      <c r="A56" s="119"/>
      <c r="B56" s="419"/>
      <c r="C56" s="420"/>
      <c r="D56" s="300"/>
      <c r="E56" s="187"/>
      <c r="F56" s="187"/>
      <c r="G56" s="188"/>
      <c r="H56" s="189" t="s">
        <v>147</v>
      </c>
      <c r="I56" s="69">
        <f>SUM(I54:I55)</f>
        <v>44</v>
      </c>
      <c r="J56" s="155" t="s">
        <v>142</v>
      </c>
      <c r="K56" s="154"/>
      <c r="L56" s="154"/>
      <c r="M56" s="307"/>
      <c r="N56" s="1"/>
      <c r="O56" s="1"/>
      <c r="P56" s="308">
        <f>SUM(P54:P55)</f>
        <v>779970</v>
      </c>
      <c r="Q56" s="308">
        <f>SUM(Q54:Q55)</f>
        <v>28549</v>
      </c>
      <c r="R56" s="308">
        <f>SUM(R54:R55)</f>
        <v>121102</v>
      </c>
      <c r="S56" s="309">
        <f>SUM(S54:S55)</f>
        <v>1356</v>
      </c>
      <c r="T56" s="308">
        <f>SUM(T54:T55)</f>
        <v>871167</v>
      </c>
    </row>
    <row r="57" spans="1:20" ht="24">
      <c r="A57" s="119"/>
      <c r="B57" s="311"/>
      <c r="C57" s="311"/>
      <c r="D57" s="311"/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5.5">
      <c r="A58" s="119"/>
      <c r="B58" s="316"/>
      <c r="C58" s="317" t="s">
        <v>104</v>
      </c>
      <c r="D58" s="317"/>
      <c r="E58" s="317"/>
      <c r="F58" s="317"/>
      <c r="G58" s="318"/>
      <c r="H58" s="319"/>
      <c r="I58" s="320"/>
      <c r="J58" s="66"/>
      <c r="K58" s="154"/>
      <c r="L58" s="154"/>
      <c r="M58" s="307"/>
      <c r="N58" s="1"/>
      <c r="O58" s="1"/>
      <c r="P58" s="328"/>
      <c r="Q58" s="39"/>
      <c r="R58" s="39"/>
      <c r="S58" s="39"/>
      <c r="T58" s="314"/>
    </row>
    <row r="59" spans="1:20" ht="25.5">
      <c r="A59" s="119"/>
      <c r="B59" s="321">
        <v>1</v>
      </c>
      <c r="C59" s="7" t="s">
        <v>38</v>
      </c>
      <c r="D59" s="345" t="s">
        <v>39</v>
      </c>
      <c r="E59" s="321" t="s">
        <v>209</v>
      </c>
      <c r="F59" s="323">
        <v>242948</v>
      </c>
      <c r="G59" s="324"/>
      <c r="H59" s="324"/>
      <c r="I59" s="323"/>
      <c r="J59" s="66"/>
      <c r="K59" s="154"/>
      <c r="L59" s="154"/>
      <c r="M59" s="307"/>
      <c r="N59" s="1"/>
      <c r="O59" s="1"/>
      <c r="P59" s="329"/>
      <c r="Q59" s="306"/>
      <c r="R59" s="39"/>
      <c r="S59" s="39"/>
      <c r="T59" s="314"/>
    </row>
    <row r="60" spans="1:20" ht="25.5">
      <c r="A60" s="119"/>
      <c r="B60" s="321">
        <v>2</v>
      </c>
      <c r="C60" s="7" t="s">
        <v>193</v>
      </c>
      <c r="D60" s="345">
        <v>1620100023048</v>
      </c>
      <c r="E60" s="321" t="s">
        <v>209</v>
      </c>
      <c r="F60" s="323" t="s">
        <v>217</v>
      </c>
      <c r="G60" s="324"/>
      <c r="H60" s="324"/>
      <c r="I60" s="323"/>
      <c r="J60" s="66"/>
      <c r="K60" s="154"/>
      <c r="L60" s="154"/>
      <c r="M60" s="307"/>
      <c r="N60" s="1"/>
      <c r="O60" s="1"/>
      <c r="P60" s="148"/>
      <c r="Q60" s="292"/>
      <c r="R60" s="4"/>
      <c r="S60" s="4"/>
      <c r="T60" s="314"/>
    </row>
    <row r="61" spans="1:20" ht="24.75" thickBot="1">
      <c r="A61" s="120"/>
      <c r="B61" s="1"/>
      <c r="C61" s="326"/>
      <c r="D61" s="2"/>
      <c r="E61" s="1"/>
      <c r="F61" s="1"/>
      <c r="G61" s="1"/>
      <c r="H61" s="1"/>
      <c r="I61" s="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22.5" thickBot="1">
      <c r="A62" s="120"/>
      <c r="B62" s="429" t="s">
        <v>214</v>
      </c>
      <c r="C62" s="430"/>
      <c r="D62" s="430"/>
      <c r="E62" s="430"/>
      <c r="F62" s="430"/>
      <c r="G62" s="430"/>
      <c r="H62" s="430"/>
      <c r="I62" s="431"/>
      <c r="J62" s="1"/>
      <c r="K62" s="1"/>
      <c r="L62" s="1"/>
      <c r="M62" s="94"/>
      <c r="N62" s="1"/>
      <c r="O62" s="1"/>
      <c r="P62" s="1"/>
      <c r="Q62" s="168"/>
      <c r="R62" s="1"/>
      <c r="S62" s="76"/>
      <c r="T62" s="1"/>
    </row>
    <row r="63" spans="1:20" ht="65.25">
      <c r="B63" s="42" t="s">
        <v>167</v>
      </c>
      <c r="C63" s="42" t="s">
        <v>158</v>
      </c>
      <c r="D63" s="346" t="s">
        <v>176</v>
      </c>
      <c r="E63" s="346" t="s">
        <v>177</v>
      </c>
      <c r="F63" s="346" t="s">
        <v>215</v>
      </c>
      <c r="G63" s="43" t="s">
        <v>150</v>
      </c>
      <c r="H63" s="346" t="s">
        <v>172</v>
      </c>
      <c r="I63" s="346" t="s">
        <v>216</v>
      </c>
    </row>
    <row r="64" spans="1:20" ht="21.75">
      <c r="B64" s="199" t="s">
        <v>178</v>
      </c>
      <c r="C64" s="197">
        <f>G7+G12+G14+G15+G16+G17+G18+G21+G22+G23+G24+G25+G26+G27+G28+G31+G32+G34+G35+G36+G37+G38+G39+G40+G41+G43+G44+G45+G47+G49+G50</f>
        <v>534770</v>
      </c>
      <c r="D64" s="197">
        <f>S7+S12+S14+S15+S16+S17+S18+S21+S22+S23+S24+S25+S26+S27+S28+S31+S32+S34+S35+S36+S37+S38+S39+S40+S41+S43+S44+S45+S47+S49+S50</f>
        <v>18949</v>
      </c>
      <c r="E64" s="197">
        <f>P7+P12+P14+P15+P16+P17+P18+P21+P22+P23+P24+P25+P26+P27+P28+P31+P32+P34+P35+P36+P37+P38+P39+P40+P41+P43+P44+P45+P47+P49+P50</f>
        <v>18949</v>
      </c>
      <c r="F64" s="197">
        <f>M27+M34+M35+M36+M37+M39+M41+M47</f>
        <v>121102</v>
      </c>
      <c r="G64" s="197">
        <v>0</v>
      </c>
      <c r="H64" s="197">
        <f>D64+E64</f>
        <v>37898</v>
      </c>
      <c r="I64" s="197">
        <f>+C64+D64+F64-H64-G64</f>
        <v>636923</v>
      </c>
    </row>
    <row r="65" spans="2:9" ht="21.75">
      <c r="B65" s="191" t="s">
        <v>175</v>
      </c>
      <c r="C65" s="204">
        <f>G8+G9+G10+G11+G13+G19+G20+G29+G30+G33+G42+G46+G48</f>
        <v>245200</v>
      </c>
      <c r="D65" s="204">
        <f>S8+S9+S10+S11+S13+S19+S20+S29+S30+S33+S42+S46+S48</f>
        <v>9600</v>
      </c>
      <c r="E65" s="204">
        <f>P8+P9+P10+P11+P13+P19+P20+P29+P30+P33+P42+P46+P48</f>
        <v>9600</v>
      </c>
      <c r="F65" s="204"/>
      <c r="G65" s="204">
        <f>Q10+Q13</f>
        <v>1356</v>
      </c>
      <c r="H65" s="204">
        <f>D65+E65</f>
        <v>19200</v>
      </c>
      <c r="I65" s="204">
        <f>+C65+D65+F65-H65-G65</f>
        <v>234244</v>
      </c>
    </row>
    <row r="66" spans="2:9" ht="24">
      <c r="B66" s="195" t="s">
        <v>147</v>
      </c>
      <c r="C66" s="233">
        <f t="shared" ref="C66:I66" si="4">SUM(C64:C65)</f>
        <v>779970</v>
      </c>
      <c r="D66" s="233">
        <f t="shared" si="4"/>
        <v>28549</v>
      </c>
      <c r="E66" s="233">
        <f t="shared" si="4"/>
        <v>28549</v>
      </c>
      <c r="F66" s="233">
        <f t="shared" si="4"/>
        <v>121102</v>
      </c>
      <c r="G66" s="233">
        <f t="shared" si="4"/>
        <v>1356</v>
      </c>
      <c r="H66" s="233">
        <f t="shared" si="4"/>
        <v>57098</v>
      </c>
      <c r="I66" s="233">
        <f t="shared" si="4"/>
        <v>871167</v>
      </c>
    </row>
  </sheetData>
  <mergeCells count="20">
    <mergeCell ref="B62:I62"/>
    <mergeCell ref="A51:F51"/>
    <mergeCell ref="B56:C56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H5:H6"/>
    <mergeCell ref="I5:J5"/>
    <mergeCell ref="K5:M5"/>
    <mergeCell ref="N5:Q5"/>
    <mergeCell ref="R5:R6"/>
    <mergeCell ref="S5:S6"/>
  </mergeCells>
  <pageMargins left="0.25" right="0.25" top="0.75" bottom="0.75" header="0.3" footer="0.3"/>
  <pageSetup scale="56" fitToHeight="0" orientation="landscape" horizontalDpi="0" verticalDpi="0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282A-78DB-443D-B08F-D4BBAD3D7EF0}">
  <sheetPr>
    <pageSetUpPr fitToPage="1"/>
  </sheetPr>
  <dimension ref="A1:T63"/>
  <sheetViews>
    <sheetView topLeftCell="A33" zoomScaleNormal="100" workbookViewId="0">
      <selection activeCell="P41" sqref="P41"/>
    </sheetView>
  </sheetViews>
  <sheetFormatPr defaultRowHeight="15"/>
  <cols>
    <col min="1" max="1" width="6.28515625" customWidth="1"/>
    <col min="2" max="2" width="20.7109375" customWidth="1"/>
    <col min="3" max="3" width="15.42578125" customWidth="1"/>
    <col min="4" max="4" width="18.7109375" customWidth="1"/>
    <col min="5" max="5" width="15.7109375" customWidth="1"/>
    <col min="6" max="6" width="10.5703125" customWidth="1"/>
    <col min="7" max="7" width="10.85546875" customWidth="1"/>
    <col min="8" max="8" width="15.5703125" customWidth="1"/>
    <col min="9" max="9" width="10.85546875" customWidth="1"/>
    <col min="10" max="10" width="7.7109375" customWidth="1"/>
    <col min="11" max="11" width="5.28515625" customWidth="1"/>
    <col min="13" max="13" width="10.140625" customWidth="1"/>
    <col min="14" max="15" width="6.7109375" customWidth="1"/>
    <col min="16" max="16" width="11.28515625" customWidth="1"/>
    <col min="17" max="17" width="10.140625" customWidth="1"/>
    <col min="18" max="18" width="11.140625" customWidth="1"/>
    <col min="19" max="19" width="10.42578125" customWidth="1"/>
    <col min="20" max="20" width="14.28515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218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750</v>
      </c>
      <c r="Q7" s="98"/>
      <c r="R7" s="103">
        <f>SUM(G7+M7-P7-Q7)</f>
        <v>15250</v>
      </c>
      <c r="S7" s="116">
        <v>750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193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f>ROUND(G8*5%,0)</f>
        <v>725</v>
      </c>
      <c r="Q8" s="98"/>
      <c r="R8" s="103">
        <f t="shared" ref="R8:R49" si="0">SUM(G8+M8-P8-Q8)</f>
        <v>13775</v>
      </c>
      <c r="S8" s="116">
        <f>ROUND(G8*5%,0)</f>
        <v>725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193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f>ROUND(G9*5%,0)</f>
        <v>725</v>
      </c>
      <c r="Q9" s="98"/>
      <c r="R9" s="103">
        <f t="shared" si="0"/>
        <v>13775</v>
      </c>
      <c r="S9" s="116">
        <f>ROUND(G9*5%,0)</f>
        <v>725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193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651</v>
      </c>
      <c r="R10" s="103">
        <f t="shared" si="0"/>
        <v>16099</v>
      </c>
      <c r="S10" s="116">
        <v>750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193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18250</v>
      </c>
      <c r="S11" s="116">
        <v>750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20250</v>
      </c>
      <c r="S12" s="116">
        <v>750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193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705</v>
      </c>
      <c r="R13" s="103">
        <f t="shared" si="0"/>
        <v>21545</v>
      </c>
      <c r="S13" s="116">
        <v>750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/>
      <c r="R14" s="103">
        <f t="shared" si="0"/>
        <v>24250</v>
      </c>
      <c r="S14" s="116">
        <v>750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20250</v>
      </c>
      <c r="S15" s="116">
        <v>750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18250</v>
      </c>
      <c r="S16" s="116">
        <v>750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24250</v>
      </c>
      <c r="S17" s="116">
        <v>750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23050</v>
      </c>
      <c r="S18" s="116">
        <v>750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193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24250</v>
      </c>
      <c r="S19" s="116">
        <v>750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193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24250</v>
      </c>
      <c r="S20" s="116">
        <v>750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v>750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v>750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v>750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v>750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v>750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10120</v>
      </c>
      <c r="H26" s="123"/>
      <c r="I26" s="123">
        <v>440</v>
      </c>
      <c r="J26" s="123">
        <v>23</v>
      </c>
      <c r="K26" s="123"/>
      <c r="L26" s="123"/>
      <c r="M26" s="124"/>
      <c r="N26" s="126"/>
      <c r="O26" s="124"/>
      <c r="P26" s="124">
        <f>ROUND(G26*5%,0)</f>
        <v>506</v>
      </c>
      <c r="Q26" s="135"/>
      <c r="R26" s="124">
        <f t="shared" si="0"/>
        <v>9614</v>
      </c>
      <c r="S26" s="128">
        <f>ROUND(G26*5%,0)</f>
        <v>506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7770</v>
      </c>
      <c r="H27" s="123"/>
      <c r="I27" s="123">
        <v>370</v>
      </c>
      <c r="J27" s="123">
        <v>21</v>
      </c>
      <c r="K27" s="123"/>
      <c r="L27" s="123"/>
      <c r="M27" s="124"/>
      <c r="N27" s="126"/>
      <c r="O27" s="124"/>
      <c r="P27" s="124">
        <f>ROUND(G27*5%,0)</f>
        <v>389</v>
      </c>
      <c r="Q27" s="135"/>
      <c r="R27" s="124">
        <f t="shared" si="0"/>
        <v>7381</v>
      </c>
      <c r="S27" s="128">
        <f>ROUND(G27*5%,0)</f>
        <v>389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750</v>
      </c>
      <c r="Q28" s="98"/>
      <c r="R28" s="103">
        <f t="shared" si="0"/>
        <v>24250</v>
      </c>
      <c r="S28" s="98">
        <v>750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193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16250</v>
      </c>
      <c r="S29" s="116">
        <v>750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261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750</v>
      </c>
      <c r="Q30" s="98"/>
      <c r="R30" s="103">
        <f t="shared" si="0"/>
        <v>16250</v>
      </c>
      <c r="S30" s="116">
        <v>750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750</v>
      </c>
      <c r="Q31" s="98"/>
      <c r="R31" s="103">
        <f t="shared" si="0"/>
        <v>24250</v>
      </c>
      <c r="S31" s="116">
        <v>750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9450</v>
      </c>
      <c r="H32" s="125" t="s">
        <v>88</v>
      </c>
      <c r="I32" s="123">
        <v>420</v>
      </c>
      <c r="J32" s="123">
        <v>22.5</v>
      </c>
      <c r="K32" s="123"/>
      <c r="L32" s="123"/>
      <c r="M32" s="124"/>
      <c r="N32" s="126"/>
      <c r="O32" s="124"/>
      <c r="P32" s="124">
        <f>ROUND(G32*5%,0)</f>
        <v>473</v>
      </c>
      <c r="Q32" s="135"/>
      <c r="R32" s="124">
        <f t="shared" si="0"/>
        <v>8977</v>
      </c>
      <c r="S32" s="128">
        <f>ROUND(G32*5%,0)</f>
        <v>473</v>
      </c>
      <c r="T32" s="124"/>
    </row>
    <row r="33" spans="1:20" ht="21.75">
      <c r="A33" s="117">
        <v>27</v>
      </c>
      <c r="B33" s="106" t="s">
        <v>91</v>
      </c>
      <c r="C33" s="107" t="s">
        <v>92</v>
      </c>
      <c r="D33" s="97">
        <v>1220400111680</v>
      </c>
      <c r="E33" s="107" t="s">
        <v>32</v>
      </c>
      <c r="F33" s="193" t="s">
        <v>169</v>
      </c>
      <c r="G33" s="103">
        <v>17200</v>
      </c>
      <c r="H33" s="108" t="s">
        <v>93</v>
      </c>
      <c r="I33" s="107"/>
      <c r="J33" s="107"/>
      <c r="K33" s="107"/>
      <c r="L33" s="107"/>
      <c r="M33" s="103"/>
      <c r="N33" s="109"/>
      <c r="O33" s="103"/>
      <c r="P33" s="103">
        <v>750</v>
      </c>
      <c r="Q33" s="98"/>
      <c r="R33" s="103">
        <f t="shared" si="0"/>
        <v>16450</v>
      </c>
      <c r="S33" s="116">
        <v>750</v>
      </c>
      <c r="T33" s="100"/>
    </row>
    <row r="34" spans="1:20" ht="21.75">
      <c r="A34" s="121">
        <v>28</v>
      </c>
      <c r="B34" s="122" t="s">
        <v>94</v>
      </c>
      <c r="C34" s="130">
        <v>6016200526744</v>
      </c>
      <c r="D34" s="137">
        <v>991016244128</v>
      </c>
      <c r="E34" s="123" t="s">
        <v>95</v>
      </c>
      <c r="F34" s="124" t="s">
        <v>168</v>
      </c>
      <c r="G34" s="124">
        <f>I34*J34</f>
        <v>7140</v>
      </c>
      <c r="H34" s="125" t="s">
        <v>96</v>
      </c>
      <c r="I34" s="123">
        <v>340</v>
      </c>
      <c r="J34" s="123">
        <v>21</v>
      </c>
      <c r="K34" s="123"/>
      <c r="L34" s="123"/>
      <c r="M34" s="124"/>
      <c r="N34" s="126"/>
      <c r="O34" s="124"/>
      <c r="P34" s="124">
        <f t="shared" ref="P34:P39" si="1">ROUND(G34*5%,0)</f>
        <v>357</v>
      </c>
      <c r="Q34" s="135"/>
      <c r="R34" s="124">
        <f t="shared" si="0"/>
        <v>6783</v>
      </c>
      <c r="S34" s="128">
        <f t="shared" ref="S34:S39" si="2">ROUND(G34*5%,0)</f>
        <v>357</v>
      </c>
      <c r="T34" s="124"/>
    </row>
    <row r="35" spans="1:20" ht="21.75">
      <c r="A35" s="121">
        <v>29</v>
      </c>
      <c r="B35" s="122" t="s">
        <v>97</v>
      </c>
      <c r="C35" s="130">
        <v>6016200526680</v>
      </c>
      <c r="D35" s="137">
        <v>991016243920</v>
      </c>
      <c r="E35" s="123" t="s">
        <v>95</v>
      </c>
      <c r="F35" s="124" t="s">
        <v>168</v>
      </c>
      <c r="G35" s="124">
        <f t="shared" ref="G35:G39" si="3">I35*J35</f>
        <v>7480</v>
      </c>
      <c r="H35" s="125" t="s">
        <v>96</v>
      </c>
      <c r="I35" s="123">
        <v>340</v>
      </c>
      <c r="J35" s="123">
        <v>22</v>
      </c>
      <c r="K35" s="123"/>
      <c r="L35" s="123"/>
      <c r="M35" s="124"/>
      <c r="N35" s="126"/>
      <c r="O35" s="124"/>
      <c r="P35" s="124">
        <f t="shared" si="1"/>
        <v>374</v>
      </c>
      <c r="Q35" s="135"/>
      <c r="R35" s="124">
        <f t="shared" si="0"/>
        <v>7106</v>
      </c>
      <c r="S35" s="128">
        <f t="shared" si="2"/>
        <v>374</v>
      </c>
      <c r="T35" s="124"/>
    </row>
    <row r="36" spans="1:20" ht="21.75">
      <c r="A36" s="121">
        <v>30</v>
      </c>
      <c r="B36" s="122" t="s">
        <v>98</v>
      </c>
      <c r="C36" s="130">
        <v>6016200526639</v>
      </c>
      <c r="D36" s="137">
        <v>991016243091</v>
      </c>
      <c r="E36" s="123" t="s">
        <v>95</v>
      </c>
      <c r="F36" s="124" t="s">
        <v>168</v>
      </c>
      <c r="G36" s="124">
        <f t="shared" si="3"/>
        <v>7140</v>
      </c>
      <c r="H36" s="125" t="s">
        <v>96</v>
      </c>
      <c r="I36" s="123">
        <v>340</v>
      </c>
      <c r="J36" s="123">
        <v>21</v>
      </c>
      <c r="K36" s="123"/>
      <c r="L36" s="123"/>
      <c r="M36" s="124"/>
      <c r="N36" s="126"/>
      <c r="O36" s="124"/>
      <c r="P36" s="124">
        <f t="shared" si="1"/>
        <v>357</v>
      </c>
      <c r="Q36" s="135"/>
      <c r="R36" s="124">
        <f t="shared" si="0"/>
        <v>6783</v>
      </c>
      <c r="S36" s="128">
        <f t="shared" si="2"/>
        <v>357</v>
      </c>
      <c r="T36" s="124"/>
    </row>
    <row r="37" spans="1:20" ht="21.75">
      <c r="A37" s="121">
        <v>31</v>
      </c>
      <c r="B37" s="122" t="s">
        <v>99</v>
      </c>
      <c r="C37" s="130">
        <v>6016200526591</v>
      </c>
      <c r="D37" s="137">
        <v>991016242486</v>
      </c>
      <c r="E37" s="123" t="s">
        <v>95</v>
      </c>
      <c r="F37" s="124" t="s">
        <v>168</v>
      </c>
      <c r="G37" s="124">
        <f t="shared" si="3"/>
        <v>7480</v>
      </c>
      <c r="H37" s="125" t="s">
        <v>96</v>
      </c>
      <c r="I37" s="123">
        <v>340</v>
      </c>
      <c r="J37" s="123">
        <v>22</v>
      </c>
      <c r="K37" s="123"/>
      <c r="L37" s="123"/>
      <c r="M37" s="124"/>
      <c r="N37" s="126"/>
      <c r="O37" s="124"/>
      <c r="P37" s="124">
        <f t="shared" si="1"/>
        <v>374</v>
      </c>
      <c r="Q37" s="135"/>
      <c r="R37" s="124">
        <f t="shared" si="0"/>
        <v>7106</v>
      </c>
      <c r="S37" s="128">
        <f t="shared" si="2"/>
        <v>374</v>
      </c>
      <c r="T37" s="124"/>
    </row>
    <row r="38" spans="1:20" ht="21.75">
      <c r="A38" s="121">
        <v>32</v>
      </c>
      <c r="B38" s="131" t="s">
        <v>108</v>
      </c>
      <c r="C38" s="132" t="s">
        <v>109</v>
      </c>
      <c r="D38" s="137">
        <v>1229900526551</v>
      </c>
      <c r="E38" s="132" t="s">
        <v>72</v>
      </c>
      <c r="F38" s="124" t="s">
        <v>168</v>
      </c>
      <c r="G38" s="124">
        <f t="shared" si="3"/>
        <v>8800</v>
      </c>
      <c r="H38" s="133" t="s">
        <v>107</v>
      </c>
      <c r="I38" s="132">
        <v>440</v>
      </c>
      <c r="J38" s="132">
        <v>20</v>
      </c>
      <c r="K38" s="132"/>
      <c r="L38" s="123"/>
      <c r="M38" s="135"/>
      <c r="N38" s="134"/>
      <c r="O38" s="135"/>
      <c r="P38" s="124">
        <f t="shared" si="1"/>
        <v>440</v>
      </c>
      <c r="Q38" s="135"/>
      <c r="R38" s="124">
        <f t="shared" si="0"/>
        <v>8360</v>
      </c>
      <c r="S38" s="128">
        <f t="shared" si="2"/>
        <v>440</v>
      </c>
      <c r="T38" s="124"/>
    </row>
    <row r="39" spans="1:20" ht="21.75">
      <c r="A39" s="121">
        <v>33</v>
      </c>
      <c r="B39" s="131" t="s">
        <v>112</v>
      </c>
      <c r="C39" s="137">
        <v>6016300837709</v>
      </c>
      <c r="D39" s="137">
        <v>991019747724</v>
      </c>
      <c r="E39" s="132" t="s">
        <v>95</v>
      </c>
      <c r="F39" s="124" t="s">
        <v>168</v>
      </c>
      <c r="G39" s="124">
        <f t="shared" si="3"/>
        <v>7140</v>
      </c>
      <c r="H39" s="133" t="s">
        <v>111</v>
      </c>
      <c r="I39" s="132">
        <v>340</v>
      </c>
      <c r="J39" s="132">
        <v>21</v>
      </c>
      <c r="K39" s="132"/>
      <c r="L39" s="132"/>
      <c r="M39" s="135"/>
      <c r="N39" s="134"/>
      <c r="O39" s="135"/>
      <c r="P39" s="124">
        <f t="shared" si="1"/>
        <v>357</v>
      </c>
      <c r="Q39" s="135"/>
      <c r="R39" s="124">
        <f t="shared" si="0"/>
        <v>6783</v>
      </c>
      <c r="S39" s="128">
        <f t="shared" si="2"/>
        <v>357</v>
      </c>
      <c r="T39" s="124"/>
    </row>
    <row r="40" spans="1:20" ht="21.75">
      <c r="A40" s="117">
        <v>34</v>
      </c>
      <c r="B40" s="106" t="s">
        <v>100</v>
      </c>
      <c r="C40" s="111">
        <v>1101500149087</v>
      </c>
      <c r="D40" s="97">
        <v>1101500149087</v>
      </c>
      <c r="E40" s="107" t="s">
        <v>44</v>
      </c>
      <c r="F40" s="198" t="s">
        <v>168</v>
      </c>
      <c r="G40" s="103">
        <v>25000</v>
      </c>
      <c r="H40" s="112" t="s">
        <v>101</v>
      </c>
      <c r="I40" s="107"/>
      <c r="J40" s="107"/>
      <c r="K40" s="107"/>
      <c r="L40" s="107"/>
      <c r="M40" s="103"/>
      <c r="N40" s="109"/>
      <c r="O40" s="103"/>
      <c r="P40" s="103">
        <v>750</v>
      </c>
      <c r="Q40" s="98"/>
      <c r="R40" s="103">
        <f t="shared" si="0"/>
        <v>24250</v>
      </c>
      <c r="S40" s="116">
        <v>750</v>
      </c>
      <c r="T40" s="100"/>
    </row>
    <row r="41" spans="1:20" ht="21.75">
      <c r="A41" s="121">
        <v>35</v>
      </c>
      <c r="B41" s="122" t="s">
        <v>102</v>
      </c>
      <c r="C41" s="130">
        <v>6016201374921</v>
      </c>
      <c r="D41" s="137">
        <v>991017408884</v>
      </c>
      <c r="E41" s="123" t="s">
        <v>95</v>
      </c>
      <c r="F41" s="124" t="s">
        <v>168</v>
      </c>
      <c r="G41" s="124">
        <f>+I41*J41</f>
        <v>7480</v>
      </c>
      <c r="H41" s="138" t="s">
        <v>106</v>
      </c>
      <c r="I41" s="123">
        <v>340</v>
      </c>
      <c r="J41" s="123">
        <v>22</v>
      </c>
      <c r="K41" s="123"/>
      <c r="L41" s="123"/>
      <c r="M41" s="124"/>
      <c r="N41" s="126"/>
      <c r="O41" s="124"/>
      <c r="P41" s="124">
        <f>ROUND(G41*5%,0)</f>
        <v>374</v>
      </c>
      <c r="Q41" s="135"/>
      <c r="R41" s="124">
        <f t="shared" si="0"/>
        <v>7106</v>
      </c>
      <c r="S41" s="128">
        <f>ROUND(G41*5%,0)</f>
        <v>374</v>
      </c>
      <c r="T41" s="124"/>
    </row>
    <row r="42" spans="1:20" ht="21.75">
      <c r="A42" s="117">
        <v>36</v>
      </c>
      <c r="B42" s="96" t="s">
        <v>118</v>
      </c>
      <c r="C42" s="97">
        <v>1229900643638</v>
      </c>
      <c r="D42" s="97">
        <v>1229900643638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750</v>
      </c>
      <c r="Q42" s="98"/>
      <c r="R42" s="103">
        <f t="shared" si="0"/>
        <v>24250</v>
      </c>
      <c r="S42" s="116">
        <v>750</v>
      </c>
      <c r="T42" s="100"/>
    </row>
    <row r="43" spans="1:20" ht="21.75">
      <c r="A43" s="117">
        <v>37</v>
      </c>
      <c r="B43" s="96" t="s">
        <v>120</v>
      </c>
      <c r="C43" s="97">
        <v>3402000037896</v>
      </c>
      <c r="D43" s="97">
        <v>3402000037896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750</v>
      </c>
      <c r="Q43" s="98"/>
      <c r="R43" s="103">
        <f t="shared" si="0"/>
        <v>24250</v>
      </c>
      <c r="S43" s="116">
        <v>750</v>
      </c>
      <c r="T43" s="100"/>
    </row>
    <row r="44" spans="1:20" ht="21.75">
      <c r="A44" s="117">
        <v>38</v>
      </c>
      <c r="B44" s="96" t="s">
        <v>121</v>
      </c>
      <c r="C44" s="97">
        <v>3341600658671</v>
      </c>
      <c r="D44" s="97">
        <v>3341600658671</v>
      </c>
      <c r="E44" s="95" t="s">
        <v>44</v>
      </c>
      <c r="F44" s="248" t="s">
        <v>168</v>
      </c>
      <c r="G44" s="98">
        <v>25000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750</v>
      </c>
      <c r="Q44" s="98"/>
      <c r="R44" s="103">
        <f t="shared" si="0"/>
        <v>24250</v>
      </c>
      <c r="S44" s="116">
        <v>750</v>
      </c>
      <c r="T44" s="100"/>
    </row>
    <row r="45" spans="1:20" ht="21.75">
      <c r="A45" s="117">
        <v>39</v>
      </c>
      <c r="B45" s="96" t="s">
        <v>122</v>
      </c>
      <c r="C45" s="97">
        <v>3930100204585</v>
      </c>
      <c r="D45" s="97">
        <v>3930100204585</v>
      </c>
      <c r="E45" s="95" t="s">
        <v>19</v>
      </c>
      <c r="F45" s="261" t="s">
        <v>169</v>
      </c>
      <c r="G45" s="98">
        <v>16500</v>
      </c>
      <c r="H45" s="99" t="s">
        <v>119</v>
      </c>
      <c r="I45" s="95"/>
      <c r="J45" s="95"/>
      <c r="K45" s="95"/>
      <c r="L45" s="107"/>
      <c r="M45" s="98"/>
      <c r="N45" s="115"/>
      <c r="O45" s="98"/>
      <c r="P45" s="103">
        <v>750</v>
      </c>
      <c r="Q45" s="98"/>
      <c r="R45" s="103">
        <f t="shared" si="0"/>
        <v>15750</v>
      </c>
      <c r="S45" s="116">
        <v>750</v>
      </c>
      <c r="T45" s="100"/>
    </row>
    <row r="46" spans="1:20" ht="21.75">
      <c r="A46" s="121">
        <v>40</v>
      </c>
      <c r="B46" s="141" t="s">
        <v>138</v>
      </c>
      <c r="C46" s="142">
        <v>1461000135963</v>
      </c>
      <c r="D46" s="137">
        <v>1461000135963</v>
      </c>
      <c r="E46" s="143" t="s">
        <v>95</v>
      </c>
      <c r="F46" s="128" t="s">
        <v>168</v>
      </c>
      <c r="G46" s="128">
        <f>I46*J46</f>
        <v>7560</v>
      </c>
      <c r="H46" s="144" t="s">
        <v>139</v>
      </c>
      <c r="I46" s="143">
        <v>360</v>
      </c>
      <c r="J46" s="143">
        <v>21</v>
      </c>
      <c r="K46" s="143"/>
      <c r="L46" s="123"/>
      <c r="M46" s="128"/>
      <c r="N46" s="145"/>
      <c r="O46" s="128"/>
      <c r="P46" s="124">
        <f>ROUND(G46*5%,0)</f>
        <v>378</v>
      </c>
      <c r="Q46" s="128"/>
      <c r="R46" s="124">
        <f t="shared" si="0"/>
        <v>7182</v>
      </c>
      <c r="S46" s="128">
        <f>ROUND(G46*5%,0)</f>
        <v>378</v>
      </c>
      <c r="T46" s="124"/>
    </row>
    <row r="47" spans="1:20" ht="21.75">
      <c r="A47" s="117">
        <v>41</v>
      </c>
      <c r="B47" s="180" t="s">
        <v>163</v>
      </c>
      <c r="C47" s="181">
        <v>6016100144033</v>
      </c>
      <c r="D47" s="97">
        <v>239989001934</v>
      </c>
      <c r="E47" s="182" t="s">
        <v>32</v>
      </c>
      <c r="F47" s="256" t="s">
        <v>169</v>
      </c>
      <c r="G47" s="116">
        <v>26000</v>
      </c>
      <c r="H47" s="99" t="s">
        <v>164</v>
      </c>
      <c r="I47" s="95"/>
      <c r="J47" s="95"/>
      <c r="K47" s="183"/>
      <c r="L47" s="107"/>
      <c r="M47" s="185"/>
      <c r="N47" s="115"/>
      <c r="O47" s="185"/>
      <c r="P47" s="103">
        <v>750</v>
      </c>
      <c r="Q47" s="116"/>
      <c r="R47" s="103">
        <f t="shared" si="0"/>
        <v>25250</v>
      </c>
      <c r="S47" s="116">
        <v>750</v>
      </c>
      <c r="T47" s="100"/>
    </row>
    <row r="48" spans="1:20" ht="21.75">
      <c r="A48" s="121">
        <v>42</v>
      </c>
      <c r="B48" s="141" t="s">
        <v>191</v>
      </c>
      <c r="C48" s="137">
        <v>3220400075728</v>
      </c>
      <c r="D48" s="142">
        <v>3220400075728</v>
      </c>
      <c r="E48" s="143" t="s">
        <v>72</v>
      </c>
      <c r="F48" s="128" t="s">
        <v>168</v>
      </c>
      <c r="G48" s="128">
        <f>I48*J48</f>
        <v>9460</v>
      </c>
      <c r="H48" s="144" t="s">
        <v>194</v>
      </c>
      <c r="I48" s="143">
        <v>440</v>
      </c>
      <c r="J48" s="143">
        <v>21.5</v>
      </c>
      <c r="K48" s="143"/>
      <c r="L48" s="123"/>
      <c r="M48" s="128">
        <v>0</v>
      </c>
      <c r="N48" s="145"/>
      <c r="O48" s="128"/>
      <c r="P48" s="124">
        <f>ROUND(G48*5%,0)</f>
        <v>473</v>
      </c>
      <c r="Q48" s="128"/>
      <c r="R48" s="124">
        <f t="shared" si="0"/>
        <v>8987</v>
      </c>
      <c r="S48" s="128">
        <f>ROUND(G48*5%,0)</f>
        <v>473</v>
      </c>
      <c r="T48" s="124"/>
    </row>
    <row r="49" spans="1:20" ht="21.75">
      <c r="A49" s="121">
        <v>43</v>
      </c>
      <c r="B49" s="141" t="s">
        <v>192</v>
      </c>
      <c r="C49" s="137">
        <v>1499900366870</v>
      </c>
      <c r="D49" s="142">
        <v>1499900366870</v>
      </c>
      <c r="E49" s="143" t="s">
        <v>72</v>
      </c>
      <c r="F49" s="128" t="s">
        <v>168</v>
      </c>
      <c r="G49" s="128">
        <f>I49*J49</f>
        <v>6300</v>
      </c>
      <c r="H49" s="144" t="s">
        <v>194</v>
      </c>
      <c r="I49" s="143">
        <v>350</v>
      </c>
      <c r="J49" s="143">
        <v>18</v>
      </c>
      <c r="K49" s="143"/>
      <c r="L49" s="123"/>
      <c r="M49" s="128">
        <v>0</v>
      </c>
      <c r="N49" s="145"/>
      <c r="O49" s="128"/>
      <c r="P49" s="124">
        <f>ROUND(G49*5%,0)</f>
        <v>315</v>
      </c>
      <c r="Q49" s="128"/>
      <c r="R49" s="124">
        <f t="shared" si="0"/>
        <v>5985</v>
      </c>
      <c r="S49" s="128">
        <f>ROUND(G49*5%,0)</f>
        <v>315</v>
      </c>
      <c r="T49" s="124"/>
    </row>
    <row r="50" spans="1:20" ht="22.5" thickBot="1">
      <c r="A50" s="402" t="s">
        <v>103</v>
      </c>
      <c r="B50" s="402"/>
      <c r="C50" s="402"/>
      <c r="D50" s="402"/>
      <c r="E50" s="402"/>
      <c r="F50" s="402"/>
      <c r="G50" s="89">
        <f>SUM(G7:G49)</f>
        <v>761320</v>
      </c>
      <c r="H50" s="75"/>
      <c r="I50" s="75"/>
      <c r="J50" s="75"/>
      <c r="K50" s="89">
        <f>SUM(K7:K49)</f>
        <v>0</v>
      </c>
      <c r="L50" s="89">
        <f>SUM(L7:L49)</f>
        <v>0</v>
      </c>
      <c r="M50" s="89">
        <f>SUM(M7:M49)</f>
        <v>0</v>
      </c>
      <c r="N50" s="87"/>
      <c r="O50" s="87"/>
      <c r="P50" s="89">
        <f>SUM(P7:P49)</f>
        <v>27617</v>
      </c>
      <c r="Q50" s="89">
        <f>SUM(Q7:Q49)</f>
        <v>1356</v>
      </c>
      <c r="R50" s="89">
        <f>SUM(R7:R49)</f>
        <v>732347</v>
      </c>
      <c r="S50" s="89">
        <f>SUM(S7:S49)</f>
        <v>27617</v>
      </c>
      <c r="T50" s="310"/>
    </row>
    <row r="51" spans="1:20" ht="23.25" thickTop="1" thickBot="1">
      <c r="A51" s="119"/>
      <c r="B51" s="3"/>
      <c r="C51" s="3"/>
      <c r="D51" s="49"/>
      <c r="E51" s="3"/>
      <c r="F51" s="3"/>
      <c r="G51" s="39"/>
      <c r="H51" s="39"/>
      <c r="I51" s="39"/>
      <c r="J51" s="39"/>
      <c r="K51" s="39"/>
      <c r="L51" s="39"/>
      <c r="M51" s="39"/>
      <c r="N51" s="331"/>
      <c r="O51" s="331"/>
      <c r="P51" s="39"/>
      <c r="Q51" s="166"/>
      <c r="R51" s="39"/>
      <c r="S51" s="76"/>
      <c r="T51" s="5"/>
    </row>
    <row r="52" spans="1:20" ht="66" thickBot="1">
      <c r="A52" s="119"/>
      <c r="B52" s="50" t="s">
        <v>12</v>
      </c>
      <c r="C52" s="3"/>
      <c r="D52" s="49"/>
      <c r="E52" s="3"/>
      <c r="F52" s="3"/>
      <c r="G52" s="39"/>
      <c r="H52" s="156" t="s">
        <v>145</v>
      </c>
      <c r="I52" s="39"/>
      <c r="J52" s="39"/>
      <c r="K52" s="39"/>
      <c r="L52" s="1"/>
      <c r="M52" s="94"/>
      <c r="N52" s="1"/>
      <c r="O52" s="1"/>
      <c r="P52" s="303" t="s">
        <v>158</v>
      </c>
      <c r="Q52" s="153" t="s">
        <v>159</v>
      </c>
      <c r="R52" s="153" t="s">
        <v>190</v>
      </c>
      <c r="S52" s="164" t="s">
        <v>150</v>
      </c>
      <c r="T52" s="153" t="s">
        <v>11</v>
      </c>
    </row>
    <row r="53" spans="1:20" ht="21.75">
      <c r="A53" s="119"/>
      <c r="B53" s="52" t="s">
        <v>156</v>
      </c>
      <c r="C53" s="149"/>
      <c r="D53" s="149">
        <v>1</v>
      </c>
      <c r="E53" s="54" t="s">
        <v>142</v>
      </c>
      <c r="F53" s="54"/>
      <c r="G53" s="55" t="s">
        <v>140</v>
      </c>
      <c r="H53" s="170" t="s">
        <v>141</v>
      </c>
      <c r="I53" s="170">
        <v>13</v>
      </c>
      <c r="J53" s="171" t="s">
        <v>142</v>
      </c>
      <c r="K53" s="148"/>
      <c r="L53" s="1"/>
      <c r="M53" s="94"/>
      <c r="N53" s="1"/>
      <c r="O53" s="1"/>
      <c r="P53" s="16">
        <f>+G26+G27+G32+G34+G35+G36+G37+G38+G39+G41+G46+G48+G49</f>
        <v>103320</v>
      </c>
      <c r="Q53" s="16">
        <f>+P26+P27+P32+P34+P35+P36+P37+P38+P39+P41+P46+P48+P49</f>
        <v>5167</v>
      </c>
      <c r="R53" s="16">
        <f>+M26+M27+M32+M34+M35+M36+M37+M39+M41+M46+M48+M49</f>
        <v>0</v>
      </c>
      <c r="S53" s="24">
        <v>0</v>
      </c>
      <c r="T53" s="349">
        <f>+R26+R27+R32+R34+R35+R36+R37+R38+R39+R41+R46+R48+R49</f>
        <v>98153</v>
      </c>
    </row>
    <row r="54" spans="1:20" ht="21.75">
      <c r="A54" s="119"/>
      <c r="B54" s="56" t="s">
        <v>137</v>
      </c>
      <c r="C54" s="150"/>
      <c r="D54" s="118"/>
      <c r="E54" s="6" t="s">
        <v>142</v>
      </c>
      <c r="F54" s="6"/>
      <c r="G54" s="190" t="s">
        <v>162</v>
      </c>
      <c r="H54" s="173" t="s">
        <v>144</v>
      </c>
      <c r="I54" s="173">
        <v>30</v>
      </c>
      <c r="J54" s="174" t="s">
        <v>142</v>
      </c>
      <c r="K54" s="148"/>
      <c r="L54" s="1"/>
      <c r="M54" s="94"/>
      <c r="N54" s="1"/>
      <c r="O54" s="1"/>
      <c r="P54" s="16">
        <f>+G7+G8+G9+G10+G11+G12+G13+G14+G15+G16+G17+G18+G19+G20+G21+G22+G23+G24+G25+G28+G29+G30+G31+G33+G40+G42+G43+G44+G45+G47</f>
        <v>658000</v>
      </c>
      <c r="Q54" s="16">
        <f>+P7+P8+P9+P10+P11+P12+P13+P14+P15+P16+P17+P18+P19+P20+P21+P22+P23+P24+P25+P28+P29+P30+P31+P33+P40+P42+P43+P44+P45+P47</f>
        <v>22450</v>
      </c>
      <c r="R54" s="16">
        <f>+M7+M8+M9+M10+M11+M12+M13+M14+M15+M16+M17+M18+M19+M20+M21+M22+M23+M24+M25+M28+M29+M30+M31+M33+M40+M42+M43+M44+M45+M47</f>
        <v>0</v>
      </c>
      <c r="S54" s="24">
        <f>+Q10+Q13</f>
        <v>1356</v>
      </c>
      <c r="T54" s="16">
        <f>+R7+R8+R9+R10+R11+R12+R13+R14+R15+R16+R17+R18+R19+R20+R21+R22+R23+R24+R25+R28+R29+R30+R31+R33+R40+R42+R43+R44+R45+R47</f>
        <v>634194</v>
      </c>
    </row>
    <row r="55" spans="1:20" ht="21.75" customHeight="1" thickBot="1">
      <c r="A55" s="119"/>
      <c r="B55" s="419"/>
      <c r="C55" s="420"/>
      <c r="D55" s="300"/>
      <c r="E55" s="187"/>
      <c r="F55" s="187"/>
      <c r="G55" s="188"/>
      <c r="H55" s="189" t="s">
        <v>147</v>
      </c>
      <c r="I55" s="69">
        <f>SUM(I53:I54)</f>
        <v>43</v>
      </c>
      <c r="J55" s="155" t="s">
        <v>142</v>
      </c>
      <c r="K55" s="154"/>
      <c r="L55" s="154"/>
      <c r="M55" s="307"/>
      <c r="N55" s="1"/>
      <c r="O55" s="1"/>
      <c r="P55" s="308">
        <f>SUM(P53:P54)</f>
        <v>761320</v>
      </c>
      <c r="Q55" s="308">
        <f>SUM(Q53:Q54)</f>
        <v>27617</v>
      </c>
      <c r="R55" s="308">
        <f>SUM(R53:R54)</f>
        <v>0</v>
      </c>
      <c r="S55" s="309">
        <f>SUM(S53:S54)</f>
        <v>1356</v>
      </c>
      <c r="T55" s="308">
        <f>SUM(T53:T54)</f>
        <v>732347</v>
      </c>
    </row>
    <row r="56" spans="1:20" ht="24">
      <c r="A56" s="119"/>
      <c r="B56" s="311"/>
      <c r="C56" s="311"/>
      <c r="D56" s="311"/>
      <c r="E56" s="1"/>
      <c r="F56" s="1"/>
      <c r="G56" s="1"/>
      <c r="H56" s="312"/>
      <c r="I56" s="313"/>
      <c r="J56" s="66"/>
      <c r="K56" s="154"/>
      <c r="L56" s="154"/>
      <c r="M56" s="307"/>
      <c r="N56" s="1"/>
      <c r="O56" s="1"/>
      <c r="P56" s="314"/>
      <c r="Q56" s="314"/>
      <c r="R56" s="314"/>
      <c r="S56" s="315"/>
      <c r="T56" s="314"/>
    </row>
    <row r="57" spans="1:20" ht="25.5">
      <c r="A57" s="119"/>
      <c r="B57" s="316"/>
      <c r="C57" s="317" t="s">
        <v>104</v>
      </c>
      <c r="D57" s="350" t="s">
        <v>114</v>
      </c>
      <c r="E57" s="345">
        <v>1419900221235</v>
      </c>
      <c r="F57" s="48" t="s">
        <v>209</v>
      </c>
      <c r="G57" s="351">
        <v>242979</v>
      </c>
      <c r="H57" s="319"/>
      <c r="I57" s="320"/>
      <c r="J57" s="66"/>
      <c r="K57" s="154"/>
      <c r="L57" s="154"/>
      <c r="M57" s="307"/>
      <c r="N57" s="1"/>
      <c r="O57" s="1"/>
      <c r="P57" s="328"/>
      <c r="Q57" s="39"/>
      <c r="R57" s="39"/>
      <c r="S57" s="39"/>
      <c r="T57" s="314"/>
    </row>
    <row r="58" spans="1:20" ht="24.75" thickBot="1">
      <c r="A58" s="120"/>
      <c r="B58" s="1"/>
      <c r="C58" s="326"/>
      <c r="D58" s="2"/>
      <c r="E58" s="1"/>
      <c r="F58" s="1"/>
      <c r="G58" s="1"/>
      <c r="H58" s="1"/>
      <c r="I58" s="1"/>
      <c r="J58" s="1"/>
      <c r="K58" s="1"/>
      <c r="L58" s="1"/>
      <c r="M58" s="94"/>
      <c r="N58" s="1"/>
      <c r="O58" s="1"/>
      <c r="P58" s="1"/>
      <c r="Q58" s="168"/>
      <c r="R58" s="1"/>
      <c r="S58" s="76"/>
      <c r="T58" s="1"/>
    </row>
    <row r="59" spans="1:20" ht="22.5" thickBot="1">
      <c r="A59" s="120"/>
      <c r="B59" s="429" t="s">
        <v>214</v>
      </c>
      <c r="C59" s="430"/>
      <c r="D59" s="430"/>
      <c r="E59" s="430"/>
      <c r="F59" s="430"/>
      <c r="G59" s="430"/>
      <c r="H59" s="430"/>
      <c r="I59" s="431"/>
      <c r="J59" s="1"/>
      <c r="K59" s="1"/>
      <c r="L59" s="1"/>
      <c r="M59" s="94"/>
      <c r="N59" s="1"/>
      <c r="O59" s="1"/>
      <c r="P59" s="1"/>
      <c r="Q59" s="168"/>
      <c r="R59" s="1"/>
      <c r="S59" s="76"/>
      <c r="T59" s="1"/>
    </row>
    <row r="60" spans="1:20" ht="43.5">
      <c r="B60" s="42" t="s">
        <v>167</v>
      </c>
      <c r="C60" s="42" t="s">
        <v>158</v>
      </c>
      <c r="D60" s="346" t="s">
        <v>176</v>
      </c>
      <c r="E60" s="346" t="s">
        <v>177</v>
      </c>
      <c r="F60" s="346" t="s">
        <v>215</v>
      </c>
      <c r="G60" s="43" t="s">
        <v>150</v>
      </c>
      <c r="H60" s="346" t="s">
        <v>172</v>
      </c>
      <c r="I60" s="346" t="s">
        <v>216</v>
      </c>
    </row>
    <row r="61" spans="1:20" ht="21.75">
      <c r="B61" s="199" t="s">
        <v>178</v>
      </c>
      <c r="C61" s="197">
        <f>G7+G12+G14+G15+G16+G17+G18+G21+G22+G23+G24+G25+G26+G27+G28+G31+G32+G34+G35+G36+G37+G38+G39+G40+G41+G42+G43+G44+G46+G48+G49</f>
        <v>529120</v>
      </c>
      <c r="D61" s="197">
        <f>S7+S12+S14+S15+S16+S17+S18+S21+S22+S23+S24+S25+S26+S27+S28+S31+S32+S34+S35+S36+S37+S38+S39+S40+S41+S42+S43+S44+S46+S48+S49</f>
        <v>18667</v>
      </c>
      <c r="E61" s="197">
        <f>P7+P12+P14+P15+P16+P17+P18+P21+P22+P23+P24+P25+P26+P27+P28+P31+P32+P34+P35+P36+P37+P38+P39+P40+P41+P42+P43+P44+P46+P48+P49</f>
        <v>18667</v>
      </c>
      <c r="F61" s="197">
        <f>M27+M34+M35+M36+M37+M39+M41+M46</f>
        <v>0</v>
      </c>
      <c r="G61" s="197">
        <v>0</v>
      </c>
      <c r="H61" s="197">
        <f>D61+E61</f>
        <v>37334</v>
      </c>
      <c r="I61" s="197">
        <f>+C61+D61+F61-H61-G61</f>
        <v>510453</v>
      </c>
    </row>
    <row r="62" spans="1:20" ht="21.75">
      <c r="B62" s="191" t="s">
        <v>224</v>
      </c>
      <c r="C62" s="204">
        <f>G8+G9+G10+G11+G13+G19+G20+G29+G30+G33+G45+G47</f>
        <v>232200</v>
      </c>
      <c r="D62" s="204">
        <f>S8+S9+S10+S11+S13+S19+S20+S29+S30+S33+S45+S47</f>
        <v>8950</v>
      </c>
      <c r="E62" s="204">
        <f>P8+P9+P10+P11+P13+P19+P20+P29+P30+P33+P45+P47</f>
        <v>8950</v>
      </c>
      <c r="F62" s="204"/>
      <c r="G62" s="204">
        <f>Q10+Q13</f>
        <v>1356</v>
      </c>
      <c r="H62" s="204">
        <f>D62+E62</f>
        <v>17900</v>
      </c>
      <c r="I62" s="204">
        <f>+C62+D62+F62-H62-G62</f>
        <v>221894</v>
      </c>
    </row>
    <row r="63" spans="1:20" ht="24">
      <c r="B63" s="195" t="s">
        <v>147</v>
      </c>
      <c r="C63" s="233">
        <f t="shared" ref="C63:I63" si="4">SUM(C61:C62)</f>
        <v>761320</v>
      </c>
      <c r="D63" s="233">
        <f t="shared" si="4"/>
        <v>27617</v>
      </c>
      <c r="E63" s="233">
        <f t="shared" si="4"/>
        <v>27617</v>
      </c>
      <c r="F63" s="233">
        <f t="shared" si="4"/>
        <v>0</v>
      </c>
      <c r="G63" s="233">
        <f t="shared" si="4"/>
        <v>1356</v>
      </c>
      <c r="H63" s="233">
        <f t="shared" si="4"/>
        <v>55234</v>
      </c>
      <c r="I63" s="233">
        <f t="shared" si="4"/>
        <v>732347</v>
      </c>
    </row>
  </sheetData>
  <mergeCells count="20">
    <mergeCell ref="A50:F50"/>
    <mergeCell ref="B55:C55"/>
    <mergeCell ref="B59:I59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25" right="0.25" top="0.75" bottom="0.75" header="0.3" footer="0.3"/>
  <pageSetup paperSize="9" scale="59" fitToHeight="0" orientation="landscape" horizontalDpi="0" verticalDpi="0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1460-62D5-46EE-AC7F-5AF18E04B07E}">
  <sheetPr>
    <pageSetUpPr fitToPage="1"/>
  </sheetPr>
  <dimension ref="A1:T69"/>
  <sheetViews>
    <sheetView workbookViewId="0">
      <selection activeCell="D20" sqref="D20"/>
    </sheetView>
  </sheetViews>
  <sheetFormatPr defaultRowHeight="15"/>
  <cols>
    <col min="1" max="1" width="4.42578125" customWidth="1"/>
    <col min="2" max="2" width="22.28515625" customWidth="1"/>
    <col min="3" max="3" width="19.42578125" customWidth="1"/>
    <col min="4" max="4" width="18.28515625" customWidth="1"/>
    <col min="5" max="5" width="15.7109375" customWidth="1"/>
    <col min="6" max="6" width="9.42578125" bestFit="1" customWidth="1"/>
    <col min="7" max="7" width="10.85546875" customWidth="1"/>
    <col min="8" max="8" width="15.5703125" customWidth="1"/>
    <col min="9" max="9" width="10.42578125" customWidth="1"/>
    <col min="16" max="16" width="11" customWidth="1"/>
    <col min="17" max="17" width="11.42578125" customWidth="1"/>
    <col min="18" max="18" width="10.140625" customWidth="1"/>
    <col min="19" max="19" width="10" customWidth="1"/>
    <col min="20" max="20" width="10.140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221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223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222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150</v>
      </c>
      <c r="Q7" s="98"/>
      <c r="R7" s="103">
        <f>SUM(G7+M7-P7-Q7)</f>
        <v>15850</v>
      </c>
      <c r="S7" s="116">
        <f>P7</f>
        <v>150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v>145</v>
      </c>
      <c r="Q8" s="98"/>
      <c r="R8" s="103">
        <f t="shared" ref="R8:R48" si="0">SUM(G8+M8-P8-Q8)</f>
        <v>14355</v>
      </c>
      <c r="S8" s="116">
        <f t="shared" ref="S8:S48" si="1">P8</f>
        <v>145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v>145</v>
      </c>
      <c r="Q9" s="98"/>
      <c r="R9" s="103">
        <f t="shared" si="0"/>
        <v>14355</v>
      </c>
      <c r="S9" s="116">
        <f t="shared" si="1"/>
        <v>145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150</v>
      </c>
      <c r="Q10" s="98">
        <v>651</v>
      </c>
      <c r="R10" s="103">
        <f t="shared" si="0"/>
        <v>16699</v>
      </c>
      <c r="S10" s="116">
        <f t="shared" si="1"/>
        <v>150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150</v>
      </c>
      <c r="Q11" s="98"/>
      <c r="R11" s="103">
        <f t="shared" si="0"/>
        <v>18850</v>
      </c>
      <c r="S11" s="116">
        <f t="shared" si="1"/>
        <v>150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150</v>
      </c>
      <c r="Q12" s="98"/>
      <c r="R12" s="103">
        <f t="shared" si="0"/>
        <v>20850</v>
      </c>
      <c r="S12" s="116">
        <f t="shared" si="1"/>
        <v>150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150</v>
      </c>
      <c r="Q13" s="98">
        <v>705</v>
      </c>
      <c r="R13" s="103">
        <f t="shared" si="0"/>
        <v>22145</v>
      </c>
      <c r="S13" s="116">
        <f t="shared" si="1"/>
        <v>150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150</v>
      </c>
      <c r="Q14" s="98"/>
      <c r="R14" s="103">
        <f t="shared" si="0"/>
        <v>24850</v>
      </c>
      <c r="S14" s="116">
        <f t="shared" si="1"/>
        <v>150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150</v>
      </c>
      <c r="Q15" s="98"/>
      <c r="R15" s="103">
        <f t="shared" si="0"/>
        <v>20850</v>
      </c>
      <c r="S15" s="116">
        <f t="shared" si="1"/>
        <v>150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150</v>
      </c>
      <c r="Q16" s="98"/>
      <c r="R16" s="103">
        <f t="shared" si="0"/>
        <v>18850</v>
      </c>
      <c r="S16" s="116">
        <f t="shared" si="1"/>
        <v>150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150</v>
      </c>
      <c r="Q17" s="98"/>
      <c r="R17" s="103">
        <f t="shared" si="0"/>
        <v>24850</v>
      </c>
      <c r="S17" s="116">
        <f t="shared" si="1"/>
        <v>150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150</v>
      </c>
      <c r="Q18" s="98"/>
      <c r="R18" s="103">
        <f t="shared" si="0"/>
        <v>23650</v>
      </c>
      <c r="S18" s="116">
        <f t="shared" si="1"/>
        <v>150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150</v>
      </c>
      <c r="Q19" s="98"/>
      <c r="R19" s="103">
        <f t="shared" si="0"/>
        <v>24850</v>
      </c>
      <c r="S19" s="116">
        <f t="shared" si="1"/>
        <v>150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150</v>
      </c>
      <c r="Q20" s="98"/>
      <c r="R20" s="103">
        <f t="shared" si="0"/>
        <v>24850</v>
      </c>
      <c r="S20" s="116">
        <f t="shared" si="1"/>
        <v>150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150</v>
      </c>
      <c r="Q21" s="98"/>
      <c r="R21" s="103">
        <f t="shared" si="0"/>
        <v>24850</v>
      </c>
      <c r="S21" s="116">
        <f t="shared" si="1"/>
        <v>150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150</v>
      </c>
      <c r="Q22" s="98"/>
      <c r="R22" s="103">
        <f t="shared" si="0"/>
        <v>24850</v>
      </c>
      <c r="S22" s="116">
        <f t="shared" si="1"/>
        <v>150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150</v>
      </c>
      <c r="Q23" s="98"/>
      <c r="R23" s="103">
        <f t="shared" si="0"/>
        <v>24850</v>
      </c>
      <c r="S23" s="116">
        <f t="shared" si="1"/>
        <v>150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150</v>
      </c>
      <c r="Q24" s="98"/>
      <c r="R24" s="103">
        <f t="shared" si="0"/>
        <v>24850</v>
      </c>
      <c r="S24" s="116">
        <f t="shared" si="1"/>
        <v>150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150</v>
      </c>
      <c r="Q25" s="98"/>
      <c r="R25" s="103">
        <f t="shared" si="0"/>
        <v>24850</v>
      </c>
      <c r="S25" s="116">
        <f t="shared" si="1"/>
        <v>150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9460</v>
      </c>
      <c r="H26" s="123"/>
      <c r="I26" s="123">
        <v>440</v>
      </c>
      <c r="J26" s="123">
        <v>21.5</v>
      </c>
      <c r="K26" s="123"/>
      <c r="L26" s="123"/>
      <c r="M26" s="124"/>
      <c r="N26" s="126"/>
      <c r="O26" s="124"/>
      <c r="P26" s="124">
        <v>95</v>
      </c>
      <c r="Q26" s="135"/>
      <c r="R26" s="124">
        <f t="shared" si="0"/>
        <v>9365</v>
      </c>
      <c r="S26" s="128">
        <f t="shared" si="1"/>
        <v>95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8140</v>
      </c>
      <c r="H27" s="123"/>
      <c r="I27" s="123">
        <v>370</v>
      </c>
      <c r="J27" s="123">
        <v>22</v>
      </c>
      <c r="K27" s="123"/>
      <c r="L27" s="123"/>
      <c r="M27" s="124"/>
      <c r="N27" s="126"/>
      <c r="O27" s="124"/>
      <c r="P27" s="124">
        <v>81</v>
      </c>
      <c r="Q27" s="135"/>
      <c r="R27" s="124">
        <f t="shared" si="0"/>
        <v>8059</v>
      </c>
      <c r="S27" s="128">
        <f t="shared" si="1"/>
        <v>81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150</v>
      </c>
      <c r="Q28" s="98"/>
      <c r="R28" s="103">
        <f t="shared" si="0"/>
        <v>24850</v>
      </c>
      <c r="S28" s="116">
        <f t="shared" si="1"/>
        <v>150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150</v>
      </c>
      <c r="Q29" s="98"/>
      <c r="R29" s="103">
        <f t="shared" si="0"/>
        <v>16850</v>
      </c>
      <c r="S29" s="116">
        <f t="shared" si="1"/>
        <v>150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150</v>
      </c>
      <c r="Q30" s="98"/>
      <c r="R30" s="103">
        <f t="shared" si="0"/>
        <v>16850</v>
      </c>
      <c r="S30" s="116">
        <f t="shared" si="1"/>
        <v>150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150</v>
      </c>
      <c r="Q31" s="98"/>
      <c r="R31" s="103">
        <f t="shared" si="0"/>
        <v>24850</v>
      </c>
      <c r="S31" s="116">
        <f t="shared" si="1"/>
        <v>150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8820</v>
      </c>
      <c r="H32" s="125" t="s">
        <v>88</v>
      </c>
      <c r="I32" s="123">
        <v>420</v>
      </c>
      <c r="J32" s="123">
        <v>21</v>
      </c>
      <c r="K32" s="123"/>
      <c r="L32" s="123"/>
      <c r="M32" s="124"/>
      <c r="N32" s="126"/>
      <c r="O32" s="124"/>
      <c r="P32" s="124">
        <v>88</v>
      </c>
      <c r="Q32" s="135"/>
      <c r="R32" s="124">
        <f t="shared" si="0"/>
        <v>8732</v>
      </c>
      <c r="S32" s="128">
        <f t="shared" si="1"/>
        <v>88</v>
      </c>
      <c r="T32" s="124"/>
    </row>
    <row r="33" spans="1:20" ht="21.75">
      <c r="A33" s="117">
        <v>27</v>
      </c>
      <c r="B33" s="106" t="s">
        <v>91</v>
      </c>
      <c r="C33" s="107" t="s">
        <v>92</v>
      </c>
      <c r="D33" s="97">
        <v>1220400111680</v>
      </c>
      <c r="E33" s="107" t="s">
        <v>32</v>
      </c>
      <c r="F33" s="193" t="s">
        <v>169</v>
      </c>
      <c r="G33" s="103">
        <v>17200</v>
      </c>
      <c r="H33" s="108" t="s">
        <v>93</v>
      </c>
      <c r="I33" s="107"/>
      <c r="J33" s="107"/>
      <c r="K33" s="107"/>
      <c r="L33" s="107"/>
      <c r="M33" s="103"/>
      <c r="N33" s="109"/>
      <c r="O33" s="103"/>
      <c r="P33" s="103">
        <v>150</v>
      </c>
      <c r="Q33" s="98"/>
      <c r="R33" s="103">
        <f t="shared" si="0"/>
        <v>17050</v>
      </c>
      <c r="S33" s="116">
        <f t="shared" si="1"/>
        <v>150</v>
      </c>
      <c r="T33" s="100"/>
    </row>
    <row r="34" spans="1:20" ht="21.75">
      <c r="A34" s="121">
        <v>28</v>
      </c>
      <c r="B34" s="122" t="s">
        <v>94</v>
      </c>
      <c r="C34" s="130">
        <v>6016200526744</v>
      </c>
      <c r="D34" s="137">
        <v>991016244128</v>
      </c>
      <c r="E34" s="123" t="s">
        <v>95</v>
      </c>
      <c r="F34" s="124" t="s">
        <v>168</v>
      </c>
      <c r="G34" s="124">
        <f>I34*J34</f>
        <v>7820</v>
      </c>
      <c r="H34" s="125" t="s">
        <v>96</v>
      </c>
      <c r="I34" s="123">
        <v>340</v>
      </c>
      <c r="J34" s="123">
        <v>23</v>
      </c>
      <c r="K34" s="123"/>
      <c r="L34" s="123"/>
      <c r="M34" s="124"/>
      <c r="N34" s="126"/>
      <c r="O34" s="124"/>
      <c r="P34" s="124">
        <v>78</v>
      </c>
      <c r="Q34" s="135"/>
      <c r="R34" s="124">
        <f t="shared" si="0"/>
        <v>7742</v>
      </c>
      <c r="S34" s="128">
        <f t="shared" si="1"/>
        <v>78</v>
      </c>
      <c r="T34" s="124"/>
    </row>
    <row r="35" spans="1:20" ht="21.75">
      <c r="A35" s="121">
        <v>29</v>
      </c>
      <c r="B35" s="122" t="s">
        <v>97</v>
      </c>
      <c r="C35" s="130">
        <v>6016200526680</v>
      </c>
      <c r="D35" s="137">
        <v>991016243920</v>
      </c>
      <c r="E35" s="123" t="s">
        <v>95</v>
      </c>
      <c r="F35" s="124" t="s">
        <v>168</v>
      </c>
      <c r="G35" s="124">
        <f t="shared" ref="G35:G39" si="2">I35*J35</f>
        <v>7820</v>
      </c>
      <c r="H35" s="125" t="s">
        <v>96</v>
      </c>
      <c r="I35" s="123">
        <v>340</v>
      </c>
      <c r="J35" s="123">
        <v>23</v>
      </c>
      <c r="K35" s="123"/>
      <c r="L35" s="123"/>
      <c r="M35" s="124"/>
      <c r="N35" s="126"/>
      <c r="O35" s="124"/>
      <c r="P35" s="124">
        <v>78</v>
      </c>
      <c r="Q35" s="135"/>
      <c r="R35" s="124">
        <f t="shared" si="0"/>
        <v>7742</v>
      </c>
      <c r="S35" s="128">
        <f t="shared" si="1"/>
        <v>78</v>
      </c>
      <c r="T35" s="124"/>
    </row>
    <row r="36" spans="1:20" ht="21.75">
      <c r="A36" s="121">
        <v>30</v>
      </c>
      <c r="B36" s="122" t="s">
        <v>98</v>
      </c>
      <c r="C36" s="130">
        <v>6016200526639</v>
      </c>
      <c r="D36" s="137">
        <v>991016243091</v>
      </c>
      <c r="E36" s="123" t="s">
        <v>95</v>
      </c>
      <c r="F36" s="124" t="s">
        <v>168</v>
      </c>
      <c r="G36" s="124">
        <f t="shared" si="2"/>
        <v>7820</v>
      </c>
      <c r="H36" s="125" t="s">
        <v>96</v>
      </c>
      <c r="I36" s="123">
        <v>340</v>
      </c>
      <c r="J36" s="123">
        <v>23</v>
      </c>
      <c r="K36" s="123"/>
      <c r="L36" s="123"/>
      <c r="M36" s="124"/>
      <c r="N36" s="126"/>
      <c r="O36" s="124"/>
      <c r="P36" s="124">
        <v>78</v>
      </c>
      <c r="Q36" s="135"/>
      <c r="R36" s="124">
        <f t="shared" si="0"/>
        <v>7742</v>
      </c>
      <c r="S36" s="128">
        <f t="shared" si="1"/>
        <v>78</v>
      </c>
      <c r="T36" s="124"/>
    </row>
    <row r="37" spans="1:20" ht="21.75">
      <c r="A37" s="121">
        <v>31</v>
      </c>
      <c r="B37" s="122" t="s">
        <v>99</v>
      </c>
      <c r="C37" s="130">
        <v>6016200526591</v>
      </c>
      <c r="D37" s="137">
        <v>991016242486</v>
      </c>
      <c r="E37" s="123" t="s">
        <v>95</v>
      </c>
      <c r="F37" s="124" t="s">
        <v>168</v>
      </c>
      <c r="G37" s="124">
        <f t="shared" si="2"/>
        <v>7820</v>
      </c>
      <c r="H37" s="125" t="s">
        <v>96</v>
      </c>
      <c r="I37" s="123">
        <v>340</v>
      </c>
      <c r="J37" s="123">
        <v>23</v>
      </c>
      <c r="K37" s="123"/>
      <c r="L37" s="123"/>
      <c r="M37" s="124"/>
      <c r="N37" s="126"/>
      <c r="O37" s="124"/>
      <c r="P37" s="124">
        <v>78</v>
      </c>
      <c r="Q37" s="135"/>
      <c r="R37" s="124">
        <f t="shared" si="0"/>
        <v>7742</v>
      </c>
      <c r="S37" s="128">
        <f t="shared" si="1"/>
        <v>78</v>
      </c>
      <c r="T37" s="124"/>
    </row>
    <row r="38" spans="1:20" ht="21.75">
      <c r="A38" s="121">
        <v>32</v>
      </c>
      <c r="B38" s="131" t="s">
        <v>108</v>
      </c>
      <c r="C38" s="132" t="s">
        <v>109</v>
      </c>
      <c r="D38" s="137">
        <v>1229900526551</v>
      </c>
      <c r="E38" s="132" t="s">
        <v>72</v>
      </c>
      <c r="F38" s="124" t="s">
        <v>168</v>
      </c>
      <c r="G38" s="124">
        <f t="shared" si="2"/>
        <v>10340</v>
      </c>
      <c r="H38" s="133" t="s">
        <v>107</v>
      </c>
      <c r="I38" s="132">
        <v>440</v>
      </c>
      <c r="J38" s="132">
        <v>23.5</v>
      </c>
      <c r="K38" s="132"/>
      <c r="L38" s="123"/>
      <c r="M38" s="135"/>
      <c r="N38" s="134"/>
      <c r="O38" s="135"/>
      <c r="P38" s="124">
        <v>103</v>
      </c>
      <c r="Q38" s="135"/>
      <c r="R38" s="124">
        <f t="shared" si="0"/>
        <v>10237</v>
      </c>
      <c r="S38" s="128">
        <f t="shared" si="1"/>
        <v>103</v>
      </c>
      <c r="T38" s="124"/>
    </row>
    <row r="39" spans="1:20" ht="21.75">
      <c r="A39" s="121">
        <v>33</v>
      </c>
      <c r="B39" s="131" t="s">
        <v>112</v>
      </c>
      <c r="C39" s="137">
        <v>6016300837709</v>
      </c>
      <c r="D39" s="137">
        <v>991019747724</v>
      </c>
      <c r="E39" s="132" t="s">
        <v>95</v>
      </c>
      <c r="F39" s="124" t="s">
        <v>168</v>
      </c>
      <c r="G39" s="124">
        <f t="shared" si="2"/>
        <v>7820</v>
      </c>
      <c r="H39" s="133" t="s">
        <v>111</v>
      </c>
      <c r="I39" s="132">
        <v>340</v>
      </c>
      <c r="J39" s="132">
        <v>23</v>
      </c>
      <c r="K39" s="132"/>
      <c r="L39" s="132"/>
      <c r="M39" s="135"/>
      <c r="N39" s="134"/>
      <c r="O39" s="135"/>
      <c r="P39" s="124">
        <v>78</v>
      </c>
      <c r="Q39" s="135"/>
      <c r="R39" s="124">
        <f t="shared" si="0"/>
        <v>7742</v>
      </c>
      <c r="S39" s="128">
        <f t="shared" si="1"/>
        <v>78</v>
      </c>
      <c r="T39" s="124"/>
    </row>
    <row r="40" spans="1:20" ht="21.75">
      <c r="A40" s="117">
        <v>34</v>
      </c>
      <c r="B40" s="106" t="s">
        <v>100</v>
      </c>
      <c r="C40" s="111">
        <v>1101500149087</v>
      </c>
      <c r="D40" s="97">
        <v>1101500149087</v>
      </c>
      <c r="E40" s="107" t="s">
        <v>44</v>
      </c>
      <c r="F40" s="198" t="s">
        <v>168</v>
      </c>
      <c r="G40" s="103">
        <v>25000</v>
      </c>
      <c r="H40" s="112" t="s">
        <v>101</v>
      </c>
      <c r="I40" s="107"/>
      <c r="J40" s="107"/>
      <c r="K40" s="107"/>
      <c r="L40" s="107"/>
      <c r="M40" s="103"/>
      <c r="N40" s="109"/>
      <c r="O40" s="103"/>
      <c r="P40" s="103">
        <v>150</v>
      </c>
      <c r="Q40" s="98"/>
      <c r="R40" s="103">
        <f t="shared" si="0"/>
        <v>24850</v>
      </c>
      <c r="S40" s="116">
        <f t="shared" si="1"/>
        <v>150</v>
      </c>
      <c r="T40" s="100"/>
    </row>
    <row r="41" spans="1:20" ht="21.75">
      <c r="A41" s="121">
        <v>35</v>
      </c>
      <c r="B41" s="122" t="s">
        <v>102</v>
      </c>
      <c r="C41" s="130">
        <v>6016201374921</v>
      </c>
      <c r="D41" s="137">
        <v>991017408884</v>
      </c>
      <c r="E41" s="123" t="s">
        <v>95</v>
      </c>
      <c r="F41" s="124" t="s">
        <v>168</v>
      </c>
      <c r="G41" s="124">
        <f>+I41*J41</f>
        <v>7820</v>
      </c>
      <c r="H41" s="138" t="s">
        <v>106</v>
      </c>
      <c r="I41" s="123">
        <v>340</v>
      </c>
      <c r="J41" s="123">
        <v>23</v>
      </c>
      <c r="K41" s="123"/>
      <c r="L41" s="123"/>
      <c r="M41" s="124"/>
      <c r="N41" s="126"/>
      <c r="O41" s="124"/>
      <c r="P41" s="124">
        <v>78</v>
      </c>
      <c r="Q41" s="135"/>
      <c r="R41" s="124">
        <f t="shared" si="0"/>
        <v>7742</v>
      </c>
      <c r="S41" s="128">
        <f t="shared" si="1"/>
        <v>78</v>
      </c>
      <c r="T41" s="124"/>
    </row>
    <row r="42" spans="1:20" ht="21.75">
      <c r="A42" s="117">
        <v>36</v>
      </c>
      <c r="B42" s="96" t="s">
        <v>118</v>
      </c>
      <c r="C42" s="97">
        <v>1229900643638</v>
      </c>
      <c r="D42" s="97">
        <v>1229900643638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150</v>
      </c>
      <c r="Q42" s="98"/>
      <c r="R42" s="103">
        <f t="shared" si="0"/>
        <v>24850</v>
      </c>
      <c r="S42" s="116">
        <f t="shared" si="1"/>
        <v>150</v>
      </c>
      <c r="T42" s="100"/>
    </row>
    <row r="43" spans="1:20" ht="21.75">
      <c r="A43" s="117">
        <v>37</v>
      </c>
      <c r="B43" s="96" t="s">
        <v>120</v>
      </c>
      <c r="C43" s="97">
        <v>3402000037896</v>
      </c>
      <c r="D43" s="97">
        <v>3402000037896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150</v>
      </c>
      <c r="Q43" s="98"/>
      <c r="R43" s="103">
        <f t="shared" si="0"/>
        <v>24850</v>
      </c>
      <c r="S43" s="116">
        <f t="shared" si="1"/>
        <v>150</v>
      </c>
      <c r="T43" s="100"/>
    </row>
    <row r="44" spans="1:20" ht="21.75">
      <c r="A44" s="117">
        <v>38</v>
      </c>
      <c r="B44" s="96" t="s">
        <v>121</v>
      </c>
      <c r="C44" s="97">
        <v>3341600658671</v>
      </c>
      <c r="D44" s="97">
        <v>3341600658671</v>
      </c>
      <c r="E44" s="95" t="s">
        <v>44</v>
      </c>
      <c r="F44" s="248" t="s">
        <v>168</v>
      </c>
      <c r="G44" s="98">
        <v>25000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150</v>
      </c>
      <c r="Q44" s="98"/>
      <c r="R44" s="103">
        <f t="shared" si="0"/>
        <v>24850</v>
      </c>
      <c r="S44" s="116">
        <f t="shared" si="1"/>
        <v>150</v>
      </c>
      <c r="T44" s="100"/>
    </row>
    <row r="45" spans="1:20" ht="21.75">
      <c r="A45" s="117">
        <v>39</v>
      </c>
      <c r="B45" s="96" t="s">
        <v>122</v>
      </c>
      <c r="C45" s="97">
        <v>3930100204585</v>
      </c>
      <c r="D45" s="97">
        <v>3930100204585</v>
      </c>
      <c r="E45" s="95" t="s">
        <v>19</v>
      </c>
      <c r="F45" s="353" t="s">
        <v>169</v>
      </c>
      <c r="G45" s="98">
        <v>16500</v>
      </c>
      <c r="H45" s="99" t="s">
        <v>119</v>
      </c>
      <c r="I45" s="95"/>
      <c r="J45" s="95"/>
      <c r="K45" s="95"/>
      <c r="L45" s="107"/>
      <c r="M45" s="98"/>
      <c r="N45" s="115"/>
      <c r="O45" s="98"/>
      <c r="P45" s="103">
        <v>150</v>
      </c>
      <c r="Q45" s="98"/>
      <c r="R45" s="103">
        <f t="shared" si="0"/>
        <v>16350</v>
      </c>
      <c r="S45" s="116">
        <f t="shared" si="1"/>
        <v>150</v>
      </c>
      <c r="T45" s="100"/>
    </row>
    <row r="46" spans="1:20" ht="21.75">
      <c r="A46" s="121">
        <v>40</v>
      </c>
      <c r="B46" s="141" t="s">
        <v>138</v>
      </c>
      <c r="C46" s="142">
        <v>1461000135963</v>
      </c>
      <c r="D46" s="137">
        <v>1461000135963</v>
      </c>
      <c r="E46" s="143" t="s">
        <v>95</v>
      </c>
      <c r="F46" s="128" t="s">
        <v>168</v>
      </c>
      <c r="G46" s="128">
        <f>I46*J46</f>
        <v>7920</v>
      </c>
      <c r="H46" s="144" t="s">
        <v>139</v>
      </c>
      <c r="I46" s="143">
        <v>360</v>
      </c>
      <c r="J46" s="143">
        <v>22</v>
      </c>
      <c r="K46" s="143"/>
      <c r="L46" s="123"/>
      <c r="M46" s="128"/>
      <c r="N46" s="145"/>
      <c r="O46" s="128"/>
      <c r="P46" s="124">
        <v>79</v>
      </c>
      <c r="Q46" s="128"/>
      <c r="R46" s="124">
        <f t="shared" si="0"/>
        <v>7841</v>
      </c>
      <c r="S46" s="128">
        <f t="shared" si="1"/>
        <v>79</v>
      </c>
      <c r="T46" s="124"/>
    </row>
    <row r="47" spans="1:20" ht="21.75">
      <c r="A47" s="117">
        <v>41</v>
      </c>
      <c r="B47" s="180" t="s">
        <v>163</v>
      </c>
      <c r="C47" s="181">
        <v>6016100144033</v>
      </c>
      <c r="D47" s="97">
        <v>239989001934</v>
      </c>
      <c r="E47" s="182" t="s">
        <v>32</v>
      </c>
      <c r="F47" s="352" t="s">
        <v>169</v>
      </c>
      <c r="G47" s="116">
        <v>26000</v>
      </c>
      <c r="H47" s="99" t="s">
        <v>164</v>
      </c>
      <c r="I47" s="95"/>
      <c r="J47" s="95"/>
      <c r="K47" s="183"/>
      <c r="L47" s="107"/>
      <c r="M47" s="185"/>
      <c r="N47" s="115"/>
      <c r="O47" s="185"/>
      <c r="P47" s="103">
        <v>150</v>
      </c>
      <c r="Q47" s="116"/>
      <c r="R47" s="103">
        <f t="shared" si="0"/>
        <v>25850</v>
      </c>
      <c r="S47" s="116">
        <f t="shared" si="1"/>
        <v>150</v>
      </c>
      <c r="T47" s="100"/>
    </row>
    <row r="48" spans="1:20" ht="21.75">
      <c r="A48" s="121">
        <v>42</v>
      </c>
      <c r="B48" s="141" t="s">
        <v>191</v>
      </c>
      <c r="C48" s="137">
        <v>3220400075728</v>
      </c>
      <c r="D48" s="142">
        <v>3220400075728</v>
      </c>
      <c r="E48" s="143" t="s">
        <v>72</v>
      </c>
      <c r="F48" s="128" t="s">
        <v>168</v>
      </c>
      <c r="G48" s="128">
        <f>I48*J48</f>
        <v>10780</v>
      </c>
      <c r="H48" s="144" t="s">
        <v>194</v>
      </c>
      <c r="I48" s="143">
        <v>440</v>
      </c>
      <c r="J48" s="143">
        <v>24.5</v>
      </c>
      <c r="K48" s="143"/>
      <c r="L48" s="123"/>
      <c r="M48" s="128"/>
      <c r="N48" s="145"/>
      <c r="O48" s="128"/>
      <c r="P48" s="124">
        <v>108</v>
      </c>
      <c r="Q48" s="128"/>
      <c r="R48" s="124">
        <f t="shared" si="0"/>
        <v>10672</v>
      </c>
      <c r="S48" s="128">
        <f t="shared" si="1"/>
        <v>108</v>
      </c>
      <c r="T48" s="124"/>
    </row>
    <row r="49" spans="1:20" ht="21.75">
      <c r="A49" s="121">
        <v>43</v>
      </c>
      <c r="B49" s="141" t="s">
        <v>192</v>
      </c>
      <c r="C49" s="137">
        <v>1499900366870</v>
      </c>
      <c r="D49" s="142">
        <v>1499900366870</v>
      </c>
      <c r="E49" s="143" t="s">
        <v>72</v>
      </c>
      <c r="F49" s="128" t="s">
        <v>168</v>
      </c>
      <c r="G49" s="128">
        <f>I49*J49</f>
        <v>8050</v>
      </c>
      <c r="H49" s="144" t="s">
        <v>194</v>
      </c>
      <c r="I49" s="143">
        <v>350</v>
      </c>
      <c r="J49" s="143">
        <v>23</v>
      </c>
      <c r="K49" s="143"/>
      <c r="L49" s="123"/>
      <c r="M49" s="128"/>
      <c r="N49" s="145"/>
      <c r="O49" s="128"/>
      <c r="P49" s="124">
        <v>81</v>
      </c>
      <c r="Q49" s="128"/>
      <c r="R49" s="124">
        <f t="shared" ref="R49:R51" si="3">SUM(G49+M49-P49-Q49)</f>
        <v>7969</v>
      </c>
      <c r="S49" s="128">
        <f t="shared" ref="S49:S51" si="4">P49</f>
        <v>81</v>
      </c>
      <c r="T49" s="124"/>
    </row>
    <row r="50" spans="1:20" ht="21.75">
      <c r="A50" s="121">
        <v>44</v>
      </c>
      <c r="B50" s="141" t="s">
        <v>226</v>
      </c>
      <c r="C50" s="137" t="s">
        <v>227</v>
      </c>
      <c r="D50" s="137" t="s">
        <v>227</v>
      </c>
      <c r="E50" s="143" t="s">
        <v>32</v>
      </c>
      <c r="F50" s="357" t="s">
        <v>169</v>
      </c>
      <c r="G50" s="128">
        <f t="shared" ref="G50:G51" si="5">I50*J50</f>
        <v>7000</v>
      </c>
      <c r="H50" s="144" t="s">
        <v>229</v>
      </c>
      <c r="I50" s="143">
        <v>400</v>
      </c>
      <c r="J50" s="143">
        <v>17.5</v>
      </c>
      <c r="K50" s="143"/>
      <c r="L50" s="123"/>
      <c r="M50" s="128"/>
      <c r="N50" s="145"/>
      <c r="O50" s="128"/>
      <c r="P50" s="124">
        <v>70</v>
      </c>
      <c r="Q50" s="128"/>
      <c r="R50" s="124">
        <f t="shared" si="3"/>
        <v>6930</v>
      </c>
      <c r="S50" s="128">
        <f t="shared" si="4"/>
        <v>70</v>
      </c>
      <c r="T50" s="124" t="s">
        <v>137</v>
      </c>
    </row>
    <row r="51" spans="1:20" ht="21.75">
      <c r="A51" s="121">
        <v>45</v>
      </c>
      <c r="B51" s="141" t="s">
        <v>225</v>
      </c>
      <c r="C51" s="123" t="s">
        <v>228</v>
      </c>
      <c r="D51" s="123" t="s">
        <v>228</v>
      </c>
      <c r="E51" s="143" t="s">
        <v>32</v>
      </c>
      <c r="F51" s="357" t="s">
        <v>169</v>
      </c>
      <c r="G51" s="128">
        <f t="shared" si="5"/>
        <v>5600</v>
      </c>
      <c r="H51" s="144" t="s">
        <v>230</v>
      </c>
      <c r="I51" s="143">
        <v>400</v>
      </c>
      <c r="J51" s="143">
        <v>14</v>
      </c>
      <c r="K51" s="143"/>
      <c r="L51" s="123"/>
      <c r="M51" s="128"/>
      <c r="N51" s="145"/>
      <c r="O51" s="128"/>
      <c r="P51" s="124">
        <v>56</v>
      </c>
      <c r="Q51" s="128"/>
      <c r="R51" s="124">
        <f t="shared" si="3"/>
        <v>5544</v>
      </c>
      <c r="S51" s="128">
        <f t="shared" si="4"/>
        <v>56</v>
      </c>
      <c r="T51" s="124" t="s">
        <v>137</v>
      </c>
    </row>
    <row r="52" spans="1:20" ht="22.5" thickBot="1">
      <c r="A52" s="402" t="s">
        <v>103</v>
      </c>
      <c r="B52" s="402"/>
      <c r="C52" s="402"/>
      <c r="D52" s="402"/>
      <c r="E52" s="402"/>
      <c r="F52" s="402"/>
      <c r="G52" s="89">
        <f>SUM(G7:G51)</f>
        <v>781030</v>
      </c>
      <c r="H52" s="75"/>
      <c r="I52" s="75"/>
      <c r="J52" s="75"/>
      <c r="K52" s="89">
        <f>SUM(K7:K51)</f>
        <v>0</v>
      </c>
      <c r="L52" s="89">
        <f>SUM(L7:L51)</f>
        <v>0</v>
      </c>
      <c r="M52" s="89">
        <f>SUM(M7:M51)</f>
        <v>0</v>
      </c>
      <c r="N52" s="87"/>
      <c r="O52" s="87"/>
      <c r="P52" s="89">
        <f>SUM(P7:P51)</f>
        <v>5719</v>
      </c>
      <c r="Q52" s="89">
        <f>SUM(Q7:Q51)</f>
        <v>1356</v>
      </c>
      <c r="R52" s="89">
        <f>SUM(R7:R51)</f>
        <v>773955</v>
      </c>
      <c r="S52" s="89">
        <f>SUM(S7:S51)</f>
        <v>5719</v>
      </c>
      <c r="T52" s="310"/>
    </row>
    <row r="53" spans="1:20" ht="23.25" thickTop="1" thickBot="1">
      <c r="A53" s="119"/>
      <c r="B53" s="3"/>
      <c r="C53" s="3"/>
      <c r="D53" s="49"/>
      <c r="E53" s="3"/>
      <c r="F53" s="3"/>
      <c r="G53" s="39"/>
      <c r="H53" s="39"/>
      <c r="I53" s="39"/>
      <c r="J53" s="39"/>
      <c r="K53" s="39"/>
      <c r="L53" s="39"/>
      <c r="M53" s="39"/>
      <c r="N53" s="331"/>
      <c r="O53" s="331"/>
      <c r="P53" s="39"/>
      <c r="Q53" s="166"/>
      <c r="R53" s="39"/>
      <c r="S53" s="76"/>
      <c r="T53" s="5"/>
    </row>
    <row r="54" spans="1:20" ht="66" thickBot="1">
      <c r="A54" s="119"/>
      <c r="B54" s="50" t="s">
        <v>12</v>
      </c>
      <c r="C54" s="3"/>
      <c r="D54" s="49"/>
      <c r="E54" s="3"/>
      <c r="F54" s="3"/>
      <c r="G54" s="39"/>
      <c r="H54" s="156" t="s">
        <v>145</v>
      </c>
      <c r="I54" s="39"/>
      <c r="J54" s="39"/>
      <c r="K54" s="39"/>
      <c r="L54" s="1"/>
      <c r="M54" s="94"/>
      <c r="N54" s="1"/>
      <c r="O54" s="1"/>
      <c r="P54" s="303" t="s">
        <v>158</v>
      </c>
      <c r="Q54" s="153" t="s">
        <v>159</v>
      </c>
      <c r="R54" s="153" t="s">
        <v>190</v>
      </c>
      <c r="S54" s="164" t="s">
        <v>150</v>
      </c>
      <c r="T54" s="153" t="s">
        <v>11</v>
      </c>
    </row>
    <row r="55" spans="1:20" ht="43.5">
      <c r="A55" s="119"/>
      <c r="B55" s="52" t="s">
        <v>156</v>
      </c>
      <c r="C55" s="149"/>
      <c r="D55" s="149">
        <v>1</v>
      </c>
      <c r="E55" s="54" t="s">
        <v>142</v>
      </c>
      <c r="F55" s="54"/>
      <c r="G55" s="55" t="s">
        <v>140</v>
      </c>
      <c r="H55" s="170" t="s">
        <v>141</v>
      </c>
      <c r="I55" s="170">
        <v>15</v>
      </c>
      <c r="J55" s="171" t="s">
        <v>142</v>
      </c>
      <c r="K55" s="148"/>
      <c r="L55" s="1"/>
      <c r="M55" s="94"/>
      <c r="N55" s="1"/>
      <c r="O55" s="1"/>
      <c r="P55" s="16">
        <f>+G26+G27+G32+G34+G35+G36+G37+G38+G39+G41+G46+G48+G49+G50+G51</f>
        <v>123030</v>
      </c>
      <c r="Q55" s="16">
        <f>+P26+P27+P32+P34+P35+P36+P37+P38+P39+P41+P46+P48+P49+P50+P51</f>
        <v>1229</v>
      </c>
      <c r="R55" s="16">
        <f>+M26+M27+M32+M34+M35+M36+M37+M39+M41+M46+M48+M51</f>
        <v>0</v>
      </c>
      <c r="S55" s="24">
        <v>0</v>
      </c>
      <c r="T55" s="349">
        <f>+R26+R27+R32+R34+R35+R36+R37+R38+R39+R41+R46+R48+R49+R50+R51</f>
        <v>121801</v>
      </c>
    </row>
    <row r="56" spans="1:20" ht="21.75">
      <c r="A56" s="119"/>
      <c r="B56" s="56" t="s">
        <v>137</v>
      </c>
      <c r="C56" s="150"/>
      <c r="D56" s="118">
        <v>2</v>
      </c>
      <c r="E56" s="6" t="s">
        <v>142</v>
      </c>
      <c r="F56" s="6"/>
      <c r="G56" s="190" t="s">
        <v>162</v>
      </c>
      <c r="H56" s="173" t="s">
        <v>144</v>
      </c>
      <c r="I56" s="173">
        <v>30</v>
      </c>
      <c r="J56" s="174" t="s">
        <v>142</v>
      </c>
      <c r="K56" s="148"/>
      <c r="L56" s="1"/>
      <c r="M56" s="94"/>
      <c r="N56" s="1"/>
      <c r="O56" s="1"/>
      <c r="P56" s="16">
        <f>+G7+G8+G9+G10+G11+G12+G13+G14+G15+G16+G17+G18+G19+G20+G21+G22+G23+G24+G25+G28+G29+G30+G31+G33+G40+G42+G43+G44+G45+G47</f>
        <v>658000</v>
      </c>
      <c r="Q56" s="16">
        <f>+P7+P8+P9+P10+P11+P12+P13+P14+P15+P16+P17+P18+P19+P20+P21+P22+P23+P24+P25+P28+P29+P30+P31+P33+P40+P42+P43+P44+P45+P47</f>
        <v>4490</v>
      </c>
      <c r="R56" s="16">
        <f>+M7+M8+M9+M10+M11+M12+M13+M14+M15+M16+M17+M18+M19+M20+M21+M22+M23+M24+M25+M28+M29+M30+M31+M40+M42+M43+M44+M45+M47</f>
        <v>0</v>
      </c>
      <c r="S56" s="24">
        <f>+Q10+Q13</f>
        <v>1356</v>
      </c>
      <c r="T56" s="16">
        <f>+R7+R8+R9+R10+R11+R12+R13+R14+R15+R16+R17+R18+R19+R20+R21+R22+R23+R24+R25+R28+R29+R30+R31+R33+R40+R42+R43+R44+R45+R47</f>
        <v>652154</v>
      </c>
    </row>
    <row r="57" spans="1:20" ht="24.75" thickBot="1">
      <c r="A57" s="119"/>
      <c r="B57" s="419"/>
      <c r="C57" s="420"/>
      <c r="D57" s="300"/>
      <c r="E57" s="187"/>
      <c r="F57" s="187"/>
      <c r="G57" s="188"/>
      <c r="H57" s="189" t="s">
        <v>147</v>
      </c>
      <c r="I57" s="69">
        <f>SUM(I55:I56)</f>
        <v>45</v>
      </c>
      <c r="J57" s="155" t="s">
        <v>142</v>
      </c>
      <c r="K57" s="154"/>
      <c r="L57" s="154"/>
      <c r="M57" s="307"/>
      <c r="N57" s="1"/>
      <c r="O57" s="1"/>
      <c r="P57" s="308">
        <f>SUM(P55:P56)</f>
        <v>781030</v>
      </c>
      <c r="Q57" s="308">
        <f>SUM(Q55:Q56)</f>
        <v>5719</v>
      </c>
      <c r="R57" s="308">
        <f>SUM(R55:R56)</f>
        <v>0</v>
      </c>
      <c r="S57" s="309">
        <f>SUM(S55:S56)</f>
        <v>1356</v>
      </c>
      <c r="T57" s="308">
        <f>SUM(T55:T56)</f>
        <v>773955</v>
      </c>
    </row>
    <row r="58" spans="1:20" ht="24">
      <c r="A58" s="119"/>
      <c r="B58" s="311"/>
      <c r="C58" s="311"/>
      <c r="D58" s="311"/>
      <c r="E58" s="1"/>
      <c r="F58" s="1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/>
      <c r="C59" s="317" t="s">
        <v>104</v>
      </c>
      <c r="D59" s="317"/>
      <c r="E59" s="317"/>
      <c r="F59" s="317"/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">
      <c r="A60" s="119"/>
      <c r="B60" s="316">
        <v>1</v>
      </c>
      <c r="C60" s="7" t="s">
        <v>91</v>
      </c>
      <c r="D60" s="345" t="s">
        <v>92</v>
      </c>
      <c r="E60" s="316" t="s">
        <v>209</v>
      </c>
      <c r="F60" s="356">
        <v>243040</v>
      </c>
      <c r="G60" s="1"/>
      <c r="H60" s="312"/>
      <c r="I60" s="313"/>
      <c r="J60" s="66"/>
      <c r="K60" s="154"/>
      <c r="L60" s="154"/>
      <c r="M60" s="307"/>
      <c r="N60" s="1"/>
      <c r="O60" s="1"/>
      <c r="P60" s="314"/>
      <c r="Q60" s="314"/>
      <c r="R60" s="314"/>
      <c r="S60" s="315"/>
      <c r="T60" s="314"/>
    </row>
    <row r="61" spans="1:20" ht="24">
      <c r="A61" s="119"/>
      <c r="B61" s="321"/>
      <c r="C61" s="41" t="s">
        <v>137</v>
      </c>
      <c r="D61" s="345"/>
      <c r="E61" s="321"/>
      <c r="F61" s="323"/>
      <c r="G61" s="1"/>
      <c r="H61" s="312"/>
      <c r="I61" s="313"/>
      <c r="J61" s="66"/>
      <c r="K61" s="154"/>
      <c r="L61" s="154"/>
      <c r="M61" s="307"/>
      <c r="N61" s="1"/>
      <c r="O61" s="1"/>
      <c r="P61" s="314"/>
      <c r="Q61" s="314"/>
      <c r="R61" s="314"/>
      <c r="S61" s="315"/>
      <c r="T61" s="314"/>
    </row>
    <row r="62" spans="1:20" ht="24">
      <c r="A62" s="119"/>
      <c r="B62" s="321">
        <v>1</v>
      </c>
      <c r="C62" s="311" t="s">
        <v>226</v>
      </c>
      <c r="D62" s="355" t="s">
        <v>227</v>
      </c>
      <c r="E62" s="321" t="s">
        <v>231</v>
      </c>
      <c r="F62" s="323">
        <v>243017</v>
      </c>
      <c r="G62" s="1"/>
      <c r="H62" s="312"/>
      <c r="I62" s="313"/>
      <c r="J62" s="66"/>
      <c r="K62" s="154"/>
      <c r="L62" s="154"/>
      <c r="M62" s="307"/>
      <c r="N62" s="1"/>
      <c r="O62" s="1"/>
      <c r="P62" s="314"/>
      <c r="Q62" s="314"/>
      <c r="R62" s="314"/>
      <c r="S62" s="315"/>
      <c r="T62" s="314"/>
    </row>
    <row r="63" spans="1:20" ht="24">
      <c r="A63" s="119"/>
      <c r="B63" s="321">
        <v>2</v>
      </c>
      <c r="C63" s="311" t="s">
        <v>225</v>
      </c>
      <c r="D63" s="3" t="s">
        <v>228</v>
      </c>
      <c r="E63" s="321" t="s">
        <v>231</v>
      </c>
      <c r="F63" s="323">
        <v>243024</v>
      </c>
      <c r="G63" s="1"/>
      <c r="H63" s="312"/>
      <c r="I63" s="313"/>
      <c r="J63" s="66"/>
      <c r="K63" s="154"/>
      <c r="L63" s="154"/>
      <c r="M63" s="307"/>
      <c r="N63" s="1"/>
      <c r="O63" s="1"/>
      <c r="P63" s="314"/>
      <c r="Q63" s="314"/>
      <c r="R63" s="314"/>
      <c r="S63" s="315"/>
      <c r="T63" s="314"/>
    </row>
    <row r="64" spans="1:20" ht="24.75" thickBot="1">
      <c r="A64" s="120"/>
      <c r="B64" s="1"/>
      <c r="C64" s="326"/>
      <c r="D64" s="2"/>
      <c r="E64" s="1"/>
      <c r="F64" s="1"/>
      <c r="G64" s="1"/>
      <c r="H64" s="1"/>
      <c r="I64" s="1"/>
      <c r="J64" s="1"/>
      <c r="K64" s="1"/>
      <c r="L64" s="1"/>
      <c r="M64" s="94"/>
      <c r="N64" s="1"/>
      <c r="O64" s="1"/>
      <c r="P64" s="1"/>
      <c r="Q64" s="168"/>
      <c r="R64" s="1"/>
      <c r="S64" s="76"/>
      <c r="T64" s="1"/>
    </row>
    <row r="65" spans="1:20" ht="22.5" thickBot="1">
      <c r="A65" s="120"/>
      <c r="B65" s="429" t="s">
        <v>214</v>
      </c>
      <c r="C65" s="430"/>
      <c r="D65" s="430"/>
      <c r="E65" s="430"/>
      <c r="F65" s="430"/>
      <c r="G65" s="430"/>
      <c r="H65" s="430"/>
      <c r="I65" s="431"/>
      <c r="J65" s="1"/>
      <c r="K65" s="1"/>
      <c r="L65" s="1"/>
      <c r="M65" s="94"/>
      <c r="N65" s="1"/>
      <c r="O65" s="1"/>
      <c r="P65" s="1"/>
      <c r="Q65" s="168"/>
      <c r="R65" s="1"/>
      <c r="S65" s="76"/>
      <c r="T65" s="1"/>
    </row>
    <row r="66" spans="1:20" ht="43.5">
      <c r="B66" s="42" t="s">
        <v>167</v>
      </c>
      <c r="C66" s="42" t="s">
        <v>158</v>
      </c>
      <c r="D66" s="346" t="s">
        <v>219</v>
      </c>
      <c r="E66" s="346" t="s">
        <v>220</v>
      </c>
      <c r="F66" s="346" t="s">
        <v>215</v>
      </c>
      <c r="G66" s="43" t="s">
        <v>150</v>
      </c>
      <c r="H66" s="346" t="s">
        <v>172</v>
      </c>
      <c r="I66" s="346" t="s">
        <v>216</v>
      </c>
    </row>
    <row r="67" spans="1:20" ht="21.75">
      <c r="B67" s="199" t="s">
        <v>178</v>
      </c>
      <c r="C67" s="197">
        <f>G7+G12+G14+G15+G16+G17+G18+G21+G22+G23+G24+G25+G26+G27+G28+G31+G32+G34+G35+G36+G37+G38+G39+G40+G41+G42+G43+G44+G46+G48+G49</f>
        <v>536230</v>
      </c>
      <c r="D67" s="197">
        <f>S7+S12+S14+S15+S16+S17+S18+S21+S22+S23+S24+S25+S26+S27+S28+S31+S32+S34+S35+S36+S37+S38+S39+S40+S41+S42+S43+S44+S46+S48+S49</f>
        <v>3803</v>
      </c>
      <c r="E67" s="197">
        <f>P7+P12+P14+P15+P16+P17+P18+P21+P22+P23+P24+P25+P26+P27+P28+P31+P32+P34+P35+P36+P37+P38+P39+P40+P41+P42+P43+P44+P46+P48+P49</f>
        <v>3803</v>
      </c>
      <c r="F67" s="197">
        <f>M27+M34+M35+M36+M37+M39+M41+M46</f>
        <v>0</v>
      </c>
      <c r="G67" s="197">
        <v>0</v>
      </c>
      <c r="H67" s="197">
        <f>D67+E67</f>
        <v>7606</v>
      </c>
      <c r="I67" s="197">
        <f>+C67+D67+F67-H67-G67</f>
        <v>532427</v>
      </c>
    </row>
    <row r="68" spans="1:20" ht="21.75">
      <c r="B68" s="191" t="s">
        <v>179</v>
      </c>
      <c r="C68" s="204">
        <f>G8+G9+G10+G11+G13+G19+G20+G29+G30+G33+G45+G47+G50+G51</f>
        <v>244800</v>
      </c>
      <c r="D68" s="204">
        <f>S8+S9+S10+S11+S13+S19+S20+S29+S30+S33+S45+S47+S50+S51</f>
        <v>1916</v>
      </c>
      <c r="E68" s="204">
        <f>P8+P9+P10+P11+P13+P19+P20+P29+P30+P33+P45+P47+P50+P51</f>
        <v>1916</v>
      </c>
      <c r="F68" s="204"/>
      <c r="G68" s="204">
        <f>Q10+Q13</f>
        <v>1356</v>
      </c>
      <c r="H68" s="204">
        <f>D68+E68</f>
        <v>3832</v>
      </c>
      <c r="I68" s="204">
        <f>+C68+D68+F68-H68-G68</f>
        <v>241528</v>
      </c>
    </row>
    <row r="69" spans="1:20" ht="24">
      <c r="B69" s="195" t="s">
        <v>147</v>
      </c>
      <c r="C69" s="233">
        <f t="shared" ref="C69:I69" si="6">SUM(C67:C68)</f>
        <v>781030</v>
      </c>
      <c r="D69" s="233">
        <f t="shared" si="6"/>
        <v>5719</v>
      </c>
      <c r="E69" s="233">
        <f t="shared" si="6"/>
        <v>5719</v>
      </c>
      <c r="F69" s="233">
        <f t="shared" si="6"/>
        <v>0</v>
      </c>
      <c r="G69" s="233">
        <f t="shared" si="6"/>
        <v>1356</v>
      </c>
      <c r="H69" s="233">
        <f t="shared" si="6"/>
        <v>11438</v>
      </c>
      <c r="I69" s="233">
        <f t="shared" si="6"/>
        <v>773955</v>
      </c>
    </row>
  </sheetData>
  <mergeCells count="20">
    <mergeCell ref="A52:F52"/>
    <mergeCell ref="B57:C57"/>
    <mergeCell ref="B65:I65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7" right="0.7" top="0.75" bottom="0.75" header="0.3" footer="0.3"/>
  <pageSetup paperSize="9" scale="52" fitToHeight="0" orientation="landscape" horizontalDpi="0" verticalDpi="0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4EDB-3F1D-4933-9965-706569B9D0F0}">
  <sheetPr>
    <pageSetUpPr fitToPage="1"/>
  </sheetPr>
  <dimension ref="A1:T65"/>
  <sheetViews>
    <sheetView topLeftCell="B49" workbookViewId="0">
      <selection activeCell="B58" sqref="B58:F59"/>
    </sheetView>
  </sheetViews>
  <sheetFormatPr defaultRowHeight="15"/>
  <cols>
    <col min="1" max="1" width="4.42578125" customWidth="1"/>
    <col min="2" max="2" width="22.28515625" customWidth="1"/>
    <col min="3" max="3" width="19.42578125" customWidth="1"/>
    <col min="4" max="4" width="18.28515625" customWidth="1"/>
    <col min="5" max="5" width="15.7109375" customWidth="1"/>
    <col min="6" max="6" width="9.42578125" bestFit="1" customWidth="1"/>
    <col min="7" max="7" width="10.85546875" customWidth="1"/>
    <col min="8" max="8" width="15.5703125" customWidth="1"/>
    <col min="9" max="9" width="10.42578125" customWidth="1"/>
    <col min="16" max="16" width="11" customWidth="1"/>
    <col min="17" max="17" width="11.42578125" customWidth="1"/>
    <col min="18" max="18" width="10.140625" customWidth="1"/>
    <col min="19" max="19" width="10" customWidth="1"/>
    <col min="20" max="20" width="10.140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223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222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150</v>
      </c>
      <c r="Q7" s="98"/>
      <c r="R7" s="103">
        <f>SUM(G7+M7-P7-Q7)</f>
        <v>15850</v>
      </c>
      <c r="S7" s="116">
        <f>P7</f>
        <v>150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v>145</v>
      </c>
      <c r="Q8" s="98"/>
      <c r="R8" s="103">
        <f t="shared" ref="R8:R50" si="0">SUM(G8+M8-P8-Q8)</f>
        <v>14355</v>
      </c>
      <c r="S8" s="116">
        <f t="shared" ref="S8:S50" si="1">P8</f>
        <v>145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v>145</v>
      </c>
      <c r="Q9" s="98"/>
      <c r="R9" s="103">
        <f t="shared" si="0"/>
        <v>14355</v>
      </c>
      <c r="S9" s="116">
        <f t="shared" si="1"/>
        <v>145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150</v>
      </c>
      <c r="Q10" s="98">
        <v>651</v>
      </c>
      <c r="R10" s="103">
        <f t="shared" si="0"/>
        <v>16699</v>
      </c>
      <c r="S10" s="116">
        <f t="shared" si="1"/>
        <v>150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150</v>
      </c>
      <c r="Q11" s="98"/>
      <c r="R11" s="103">
        <f t="shared" si="0"/>
        <v>18850</v>
      </c>
      <c r="S11" s="116">
        <f t="shared" si="1"/>
        <v>150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150</v>
      </c>
      <c r="Q12" s="98"/>
      <c r="R12" s="103">
        <f t="shared" si="0"/>
        <v>20850</v>
      </c>
      <c r="S12" s="116">
        <f t="shared" si="1"/>
        <v>150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150</v>
      </c>
      <c r="Q13" s="98">
        <v>705</v>
      </c>
      <c r="R13" s="103">
        <f t="shared" si="0"/>
        <v>22145</v>
      </c>
      <c r="S13" s="116">
        <f t="shared" si="1"/>
        <v>150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150</v>
      </c>
      <c r="Q14" s="98"/>
      <c r="R14" s="103">
        <f t="shared" si="0"/>
        <v>24850</v>
      </c>
      <c r="S14" s="116">
        <f t="shared" si="1"/>
        <v>150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150</v>
      </c>
      <c r="Q15" s="98"/>
      <c r="R15" s="103">
        <f t="shared" si="0"/>
        <v>20850</v>
      </c>
      <c r="S15" s="116">
        <f t="shared" si="1"/>
        <v>150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150</v>
      </c>
      <c r="Q16" s="98"/>
      <c r="R16" s="103">
        <f t="shared" si="0"/>
        <v>18850</v>
      </c>
      <c r="S16" s="116">
        <f t="shared" si="1"/>
        <v>150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150</v>
      </c>
      <c r="Q17" s="98"/>
      <c r="R17" s="103">
        <f t="shared" si="0"/>
        <v>24850</v>
      </c>
      <c r="S17" s="116">
        <f t="shared" si="1"/>
        <v>150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150</v>
      </c>
      <c r="Q18" s="98"/>
      <c r="R18" s="103">
        <f t="shared" si="0"/>
        <v>23650</v>
      </c>
      <c r="S18" s="116">
        <f t="shared" si="1"/>
        <v>150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150</v>
      </c>
      <c r="Q19" s="98"/>
      <c r="R19" s="103">
        <f t="shared" si="0"/>
        <v>24850</v>
      </c>
      <c r="S19" s="116">
        <f t="shared" si="1"/>
        <v>150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150</v>
      </c>
      <c r="Q20" s="98"/>
      <c r="R20" s="103">
        <f t="shared" si="0"/>
        <v>24850</v>
      </c>
      <c r="S20" s="116">
        <f t="shared" si="1"/>
        <v>150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150</v>
      </c>
      <c r="Q21" s="98"/>
      <c r="R21" s="103">
        <f t="shared" si="0"/>
        <v>24850</v>
      </c>
      <c r="S21" s="116">
        <f t="shared" si="1"/>
        <v>150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150</v>
      </c>
      <c r="Q22" s="98"/>
      <c r="R22" s="103">
        <f t="shared" si="0"/>
        <v>24850</v>
      </c>
      <c r="S22" s="116">
        <f t="shared" si="1"/>
        <v>150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150</v>
      </c>
      <c r="Q23" s="98"/>
      <c r="R23" s="103">
        <f t="shared" si="0"/>
        <v>24850</v>
      </c>
      <c r="S23" s="116">
        <f t="shared" si="1"/>
        <v>150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150</v>
      </c>
      <c r="Q24" s="98"/>
      <c r="R24" s="103">
        <f t="shared" si="0"/>
        <v>24850</v>
      </c>
      <c r="S24" s="116">
        <f t="shared" si="1"/>
        <v>150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150</v>
      </c>
      <c r="Q25" s="98"/>
      <c r="R25" s="103">
        <f t="shared" si="0"/>
        <v>24850</v>
      </c>
      <c r="S25" s="116">
        <f t="shared" si="1"/>
        <v>150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10560</v>
      </c>
      <c r="H26" s="123"/>
      <c r="I26" s="123">
        <v>440</v>
      </c>
      <c r="J26" s="123">
        <v>24</v>
      </c>
      <c r="K26" s="123"/>
      <c r="L26" s="123"/>
      <c r="M26" s="124"/>
      <c r="N26" s="126"/>
      <c r="O26" s="124"/>
      <c r="P26" s="124">
        <v>106</v>
      </c>
      <c r="Q26" s="135"/>
      <c r="R26" s="124">
        <f t="shared" si="0"/>
        <v>10454</v>
      </c>
      <c r="S26" s="128">
        <f t="shared" si="1"/>
        <v>106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9250</v>
      </c>
      <c r="H27" s="123"/>
      <c r="I27" s="123">
        <v>370</v>
      </c>
      <c r="J27" s="123">
        <v>25</v>
      </c>
      <c r="K27" s="123"/>
      <c r="L27" s="123"/>
      <c r="M27" s="124"/>
      <c r="N27" s="126"/>
      <c r="O27" s="124"/>
      <c r="P27" s="124">
        <v>93</v>
      </c>
      <c r="Q27" s="135"/>
      <c r="R27" s="124">
        <f t="shared" si="0"/>
        <v>9157</v>
      </c>
      <c r="S27" s="128">
        <f t="shared" si="1"/>
        <v>93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150</v>
      </c>
      <c r="Q28" s="98"/>
      <c r="R28" s="103">
        <f t="shared" si="0"/>
        <v>24850</v>
      </c>
      <c r="S28" s="116">
        <f t="shared" si="1"/>
        <v>150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150</v>
      </c>
      <c r="Q29" s="98"/>
      <c r="R29" s="103">
        <f t="shared" si="0"/>
        <v>16850</v>
      </c>
      <c r="S29" s="116">
        <f t="shared" si="1"/>
        <v>150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150</v>
      </c>
      <c r="Q30" s="98"/>
      <c r="R30" s="103">
        <f t="shared" si="0"/>
        <v>16850</v>
      </c>
      <c r="S30" s="116">
        <f t="shared" si="1"/>
        <v>150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150</v>
      </c>
      <c r="Q31" s="98"/>
      <c r="R31" s="103">
        <f t="shared" si="0"/>
        <v>24850</v>
      </c>
      <c r="S31" s="116">
        <f t="shared" si="1"/>
        <v>150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10080</v>
      </c>
      <c r="H32" s="125" t="s">
        <v>88</v>
      </c>
      <c r="I32" s="123">
        <v>420</v>
      </c>
      <c r="J32" s="123">
        <v>24</v>
      </c>
      <c r="K32" s="123"/>
      <c r="L32" s="123"/>
      <c r="M32" s="124"/>
      <c r="N32" s="126"/>
      <c r="O32" s="124"/>
      <c r="P32" s="124">
        <v>101</v>
      </c>
      <c r="Q32" s="135"/>
      <c r="R32" s="124">
        <f t="shared" si="0"/>
        <v>9979</v>
      </c>
      <c r="S32" s="128">
        <f t="shared" si="1"/>
        <v>101</v>
      </c>
      <c r="T32" s="124"/>
    </row>
    <row r="33" spans="1:20" ht="21.75">
      <c r="A33" s="121">
        <v>27</v>
      </c>
      <c r="B33" s="122" t="s">
        <v>94</v>
      </c>
      <c r="C33" s="130">
        <v>6016200526744</v>
      </c>
      <c r="D33" s="137">
        <v>991016244128</v>
      </c>
      <c r="E33" s="123" t="s">
        <v>95</v>
      </c>
      <c r="F33" s="124" t="s">
        <v>168</v>
      </c>
      <c r="G33" s="124">
        <f>I33*J33</f>
        <v>8500</v>
      </c>
      <c r="H33" s="125" t="s">
        <v>96</v>
      </c>
      <c r="I33" s="123">
        <v>340</v>
      </c>
      <c r="J33" s="123">
        <v>25</v>
      </c>
      <c r="K33" s="123"/>
      <c r="L33" s="123"/>
      <c r="M33" s="124"/>
      <c r="N33" s="126"/>
      <c r="O33" s="124"/>
      <c r="P33" s="124">
        <v>85</v>
      </c>
      <c r="Q33" s="135"/>
      <c r="R33" s="124">
        <f t="shared" si="0"/>
        <v>8415</v>
      </c>
      <c r="S33" s="128">
        <f t="shared" si="1"/>
        <v>85</v>
      </c>
      <c r="T33" s="124"/>
    </row>
    <row r="34" spans="1:20" ht="21.75">
      <c r="A34" s="121">
        <v>28</v>
      </c>
      <c r="B34" s="122" t="s">
        <v>97</v>
      </c>
      <c r="C34" s="130">
        <v>6016200526680</v>
      </c>
      <c r="D34" s="137">
        <v>991016243920</v>
      </c>
      <c r="E34" s="123" t="s">
        <v>95</v>
      </c>
      <c r="F34" s="124" t="s">
        <v>168</v>
      </c>
      <c r="G34" s="124">
        <f t="shared" ref="G34:G38" si="2">I34*J34</f>
        <v>8160</v>
      </c>
      <c r="H34" s="125" t="s">
        <v>96</v>
      </c>
      <c r="I34" s="123">
        <v>340</v>
      </c>
      <c r="J34" s="123">
        <v>24</v>
      </c>
      <c r="K34" s="123"/>
      <c r="L34" s="123"/>
      <c r="M34" s="124"/>
      <c r="N34" s="126"/>
      <c r="O34" s="124"/>
      <c r="P34" s="124">
        <v>82</v>
      </c>
      <c r="Q34" s="135"/>
      <c r="R34" s="124">
        <f t="shared" si="0"/>
        <v>8078</v>
      </c>
      <c r="S34" s="128">
        <f t="shared" si="1"/>
        <v>82</v>
      </c>
      <c r="T34" s="124"/>
    </row>
    <row r="35" spans="1:20" ht="21.75">
      <c r="A35" s="121">
        <v>29</v>
      </c>
      <c r="B35" s="122" t="s">
        <v>98</v>
      </c>
      <c r="C35" s="130">
        <v>6016200526639</v>
      </c>
      <c r="D35" s="137">
        <v>991016243091</v>
      </c>
      <c r="E35" s="123" t="s">
        <v>95</v>
      </c>
      <c r="F35" s="124" t="s">
        <v>168</v>
      </c>
      <c r="G35" s="124">
        <f t="shared" si="2"/>
        <v>8160</v>
      </c>
      <c r="H35" s="125" t="s">
        <v>96</v>
      </c>
      <c r="I35" s="123">
        <v>340</v>
      </c>
      <c r="J35" s="123">
        <v>24</v>
      </c>
      <c r="K35" s="123"/>
      <c r="L35" s="123"/>
      <c r="M35" s="124"/>
      <c r="N35" s="126"/>
      <c r="O35" s="124"/>
      <c r="P35" s="124">
        <v>82</v>
      </c>
      <c r="Q35" s="135"/>
      <c r="R35" s="124">
        <f t="shared" si="0"/>
        <v>8078</v>
      </c>
      <c r="S35" s="128">
        <f t="shared" si="1"/>
        <v>82</v>
      </c>
      <c r="T35" s="124"/>
    </row>
    <row r="36" spans="1:20" ht="21.75">
      <c r="A36" s="121">
        <v>30</v>
      </c>
      <c r="B36" s="122" t="s">
        <v>99</v>
      </c>
      <c r="C36" s="130">
        <v>6016200526591</v>
      </c>
      <c r="D36" s="137">
        <v>991016242486</v>
      </c>
      <c r="E36" s="123" t="s">
        <v>95</v>
      </c>
      <c r="F36" s="124" t="s">
        <v>168</v>
      </c>
      <c r="G36" s="124">
        <f t="shared" si="2"/>
        <v>8160</v>
      </c>
      <c r="H36" s="125" t="s">
        <v>96</v>
      </c>
      <c r="I36" s="123">
        <v>340</v>
      </c>
      <c r="J36" s="123">
        <v>24</v>
      </c>
      <c r="K36" s="123"/>
      <c r="L36" s="123"/>
      <c r="M36" s="124"/>
      <c r="N36" s="126"/>
      <c r="O36" s="124"/>
      <c r="P36" s="124">
        <v>82</v>
      </c>
      <c r="Q36" s="135"/>
      <c r="R36" s="124">
        <f t="shared" si="0"/>
        <v>8078</v>
      </c>
      <c r="S36" s="128">
        <f t="shared" si="1"/>
        <v>82</v>
      </c>
      <c r="T36" s="124"/>
    </row>
    <row r="37" spans="1:20" ht="21.75">
      <c r="A37" s="121">
        <v>31</v>
      </c>
      <c r="B37" s="131" t="s">
        <v>108</v>
      </c>
      <c r="C37" s="132" t="s">
        <v>109</v>
      </c>
      <c r="D37" s="137">
        <v>1229900526551</v>
      </c>
      <c r="E37" s="132" t="s">
        <v>72</v>
      </c>
      <c r="F37" s="124" t="s">
        <v>168</v>
      </c>
      <c r="G37" s="124">
        <f t="shared" si="2"/>
        <v>11000</v>
      </c>
      <c r="H37" s="133" t="s">
        <v>107</v>
      </c>
      <c r="I37" s="132">
        <v>440</v>
      </c>
      <c r="J37" s="132">
        <v>25</v>
      </c>
      <c r="K37" s="132"/>
      <c r="L37" s="123"/>
      <c r="M37" s="135"/>
      <c r="N37" s="134"/>
      <c r="O37" s="135"/>
      <c r="P37" s="124">
        <v>110</v>
      </c>
      <c r="Q37" s="135"/>
      <c r="R37" s="124">
        <f t="shared" si="0"/>
        <v>10890</v>
      </c>
      <c r="S37" s="128">
        <f t="shared" si="1"/>
        <v>110</v>
      </c>
      <c r="T37" s="124"/>
    </row>
    <row r="38" spans="1:20" ht="21.75">
      <c r="A38" s="121">
        <v>32</v>
      </c>
      <c r="B38" s="131" t="s">
        <v>112</v>
      </c>
      <c r="C38" s="137">
        <v>6016300837709</v>
      </c>
      <c r="D38" s="137">
        <v>991019747724</v>
      </c>
      <c r="E38" s="132" t="s">
        <v>95</v>
      </c>
      <c r="F38" s="124" t="s">
        <v>168</v>
      </c>
      <c r="G38" s="124">
        <f t="shared" si="2"/>
        <v>8500</v>
      </c>
      <c r="H38" s="133" t="s">
        <v>111</v>
      </c>
      <c r="I38" s="132">
        <v>340</v>
      </c>
      <c r="J38" s="132">
        <v>25</v>
      </c>
      <c r="K38" s="132"/>
      <c r="L38" s="132"/>
      <c r="M38" s="135"/>
      <c r="N38" s="134"/>
      <c r="O38" s="135"/>
      <c r="P38" s="124">
        <v>85</v>
      </c>
      <c r="Q38" s="135"/>
      <c r="R38" s="124">
        <f t="shared" si="0"/>
        <v>8415</v>
      </c>
      <c r="S38" s="128">
        <f t="shared" si="1"/>
        <v>85</v>
      </c>
      <c r="T38" s="124"/>
    </row>
    <row r="39" spans="1:20" ht="21.75">
      <c r="A39" s="117">
        <v>33</v>
      </c>
      <c r="B39" s="106" t="s">
        <v>100</v>
      </c>
      <c r="C39" s="111">
        <v>1101500149087</v>
      </c>
      <c r="D39" s="97">
        <v>1101500149087</v>
      </c>
      <c r="E39" s="107" t="s">
        <v>44</v>
      </c>
      <c r="F39" s="198" t="s">
        <v>168</v>
      </c>
      <c r="G39" s="103">
        <v>25000</v>
      </c>
      <c r="H39" s="112" t="s">
        <v>101</v>
      </c>
      <c r="I39" s="107"/>
      <c r="J39" s="107"/>
      <c r="K39" s="107"/>
      <c r="L39" s="107"/>
      <c r="M39" s="103"/>
      <c r="N39" s="109"/>
      <c r="O39" s="103"/>
      <c r="P39" s="103">
        <v>150</v>
      </c>
      <c r="Q39" s="98"/>
      <c r="R39" s="103">
        <f t="shared" si="0"/>
        <v>24850</v>
      </c>
      <c r="S39" s="116">
        <f t="shared" si="1"/>
        <v>150</v>
      </c>
      <c r="T39" s="100"/>
    </row>
    <row r="40" spans="1:20" ht="21.75">
      <c r="A40" s="121">
        <v>34</v>
      </c>
      <c r="B40" s="122" t="s">
        <v>102</v>
      </c>
      <c r="C40" s="130">
        <v>6016201374921</v>
      </c>
      <c r="D40" s="137">
        <v>991017408884</v>
      </c>
      <c r="E40" s="123" t="s">
        <v>95</v>
      </c>
      <c r="F40" s="124" t="s">
        <v>168</v>
      </c>
      <c r="G40" s="124">
        <f>+I40*J40</f>
        <v>7820</v>
      </c>
      <c r="H40" s="138" t="s">
        <v>106</v>
      </c>
      <c r="I40" s="123">
        <v>340</v>
      </c>
      <c r="J40" s="123">
        <v>23</v>
      </c>
      <c r="K40" s="123"/>
      <c r="L40" s="123"/>
      <c r="M40" s="124"/>
      <c r="N40" s="126"/>
      <c r="O40" s="124"/>
      <c r="P40" s="124">
        <v>78</v>
      </c>
      <c r="Q40" s="135"/>
      <c r="R40" s="124">
        <f t="shared" si="0"/>
        <v>7742</v>
      </c>
      <c r="S40" s="128">
        <f t="shared" si="1"/>
        <v>78</v>
      </c>
      <c r="T40" s="124"/>
    </row>
    <row r="41" spans="1:20" ht="21.75">
      <c r="A41" s="117">
        <v>35</v>
      </c>
      <c r="B41" s="96" t="s">
        <v>118</v>
      </c>
      <c r="C41" s="97">
        <v>1229900643638</v>
      </c>
      <c r="D41" s="97">
        <v>1229900643638</v>
      </c>
      <c r="E41" s="95" t="s">
        <v>44</v>
      </c>
      <c r="F41" s="248" t="s">
        <v>168</v>
      </c>
      <c r="G41" s="98">
        <v>25000</v>
      </c>
      <c r="H41" s="99" t="s">
        <v>119</v>
      </c>
      <c r="I41" s="95"/>
      <c r="J41" s="95"/>
      <c r="K41" s="95"/>
      <c r="L41" s="107"/>
      <c r="M41" s="98"/>
      <c r="N41" s="115"/>
      <c r="O41" s="98"/>
      <c r="P41" s="103">
        <v>150</v>
      </c>
      <c r="Q41" s="98"/>
      <c r="R41" s="103">
        <f t="shared" si="0"/>
        <v>24850</v>
      </c>
      <c r="S41" s="116">
        <f t="shared" si="1"/>
        <v>150</v>
      </c>
      <c r="T41" s="100"/>
    </row>
    <row r="42" spans="1:20" ht="21.75">
      <c r="A42" s="117">
        <v>36</v>
      </c>
      <c r="B42" s="96" t="s">
        <v>120</v>
      </c>
      <c r="C42" s="97">
        <v>3402000037896</v>
      </c>
      <c r="D42" s="97">
        <v>3402000037896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150</v>
      </c>
      <c r="Q42" s="98"/>
      <c r="R42" s="103">
        <f t="shared" si="0"/>
        <v>24850</v>
      </c>
      <c r="S42" s="116">
        <f t="shared" si="1"/>
        <v>150</v>
      </c>
      <c r="T42" s="100"/>
    </row>
    <row r="43" spans="1:20" ht="21.75">
      <c r="A43" s="117">
        <v>37</v>
      </c>
      <c r="B43" s="96" t="s">
        <v>121</v>
      </c>
      <c r="C43" s="97">
        <v>3341600658671</v>
      </c>
      <c r="D43" s="97">
        <v>3341600658671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150</v>
      </c>
      <c r="Q43" s="98"/>
      <c r="R43" s="103">
        <f t="shared" si="0"/>
        <v>24850</v>
      </c>
      <c r="S43" s="116">
        <f t="shared" si="1"/>
        <v>150</v>
      </c>
      <c r="T43" s="100"/>
    </row>
    <row r="44" spans="1:20" ht="21.75">
      <c r="A44" s="117">
        <v>38</v>
      </c>
      <c r="B44" s="96" t="s">
        <v>122</v>
      </c>
      <c r="C44" s="97">
        <v>3930100204585</v>
      </c>
      <c r="D44" s="97">
        <v>3930100204585</v>
      </c>
      <c r="E44" s="95" t="s">
        <v>19</v>
      </c>
      <c r="F44" s="353" t="s">
        <v>169</v>
      </c>
      <c r="G44" s="98">
        <v>16500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150</v>
      </c>
      <c r="Q44" s="98"/>
      <c r="R44" s="103">
        <f t="shared" si="0"/>
        <v>16350</v>
      </c>
      <c r="S44" s="116">
        <f t="shared" si="1"/>
        <v>150</v>
      </c>
      <c r="T44" s="100"/>
    </row>
    <row r="45" spans="1:20" ht="21.75">
      <c r="A45" s="121">
        <v>39</v>
      </c>
      <c r="B45" s="141" t="s">
        <v>138</v>
      </c>
      <c r="C45" s="142">
        <v>1461000135963</v>
      </c>
      <c r="D45" s="137">
        <v>1461000135963</v>
      </c>
      <c r="E45" s="143" t="s">
        <v>95</v>
      </c>
      <c r="F45" s="128" t="s">
        <v>168</v>
      </c>
      <c r="G45" s="128">
        <f>I45*J45</f>
        <v>9000</v>
      </c>
      <c r="H45" s="144" t="s">
        <v>139</v>
      </c>
      <c r="I45" s="143">
        <v>360</v>
      </c>
      <c r="J45" s="143">
        <v>25</v>
      </c>
      <c r="K45" s="143"/>
      <c r="L45" s="123"/>
      <c r="M45" s="128"/>
      <c r="N45" s="145"/>
      <c r="O45" s="128"/>
      <c r="P45" s="124">
        <v>90</v>
      </c>
      <c r="Q45" s="128"/>
      <c r="R45" s="124">
        <f t="shared" si="0"/>
        <v>8910</v>
      </c>
      <c r="S45" s="128">
        <f t="shared" si="1"/>
        <v>90</v>
      </c>
      <c r="T45" s="124"/>
    </row>
    <row r="46" spans="1:20" ht="21.75">
      <c r="A46" s="117">
        <v>40</v>
      </c>
      <c r="B46" s="180" t="s">
        <v>163</v>
      </c>
      <c r="C46" s="181">
        <v>6016100144033</v>
      </c>
      <c r="D46" s="97">
        <v>239989001934</v>
      </c>
      <c r="E46" s="182" t="s">
        <v>32</v>
      </c>
      <c r="F46" s="352" t="s">
        <v>169</v>
      </c>
      <c r="G46" s="116">
        <v>26000</v>
      </c>
      <c r="H46" s="99" t="s">
        <v>164</v>
      </c>
      <c r="I46" s="95"/>
      <c r="J46" s="95"/>
      <c r="K46" s="183"/>
      <c r="L46" s="107"/>
      <c r="M46" s="185"/>
      <c r="N46" s="115"/>
      <c r="O46" s="185"/>
      <c r="P46" s="103">
        <v>150</v>
      </c>
      <c r="Q46" s="116"/>
      <c r="R46" s="103">
        <f t="shared" si="0"/>
        <v>25850</v>
      </c>
      <c r="S46" s="116">
        <f t="shared" si="1"/>
        <v>150</v>
      </c>
      <c r="T46" s="100"/>
    </row>
    <row r="47" spans="1:20" ht="21.75">
      <c r="A47" s="121">
        <v>41</v>
      </c>
      <c r="B47" s="141" t="s">
        <v>191</v>
      </c>
      <c r="C47" s="137">
        <v>3220400075728</v>
      </c>
      <c r="D47" s="142">
        <v>3220400075728</v>
      </c>
      <c r="E47" s="143" t="s">
        <v>72</v>
      </c>
      <c r="F47" s="128" t="s">
        <v>168</v>
      </c>
      <c r="G47" s="128">
        <f>I47*J47</f>
        <v>9680</v>
      </c>
      <c r="H47" s="144" t="s">
        <v>194</v>
      </c>
      <c r="I47" s="143">
        <v>440</v>
      </c>
      <c r="J47" s="143">
        <v>22</v>
      </c>
      <c r="K47" s="143"/>
      <c r="L47" s="123"/>
      <c r="M47" s="128"/>
      <c r="N47" s="145"/>
      <c r="O47" s="128"/>
      <c r="P47" s="124">
        <v>97</v>
      </c>
      <c r="Q47" s="128"/>
      <c r="R47" s="124">
        <f t="shared" si="0"/>
        <v>9583</v>
      </c>
      <c r="S47" s="128">
        <f t="shared" si="1"/>
        <v>97</v>
      </c>
      <c r="T47" s="124"/>
    </row>
    <row r="48" spans="1:20" ht="21.75">
      <c r="A48" s="121">
        <v>42</v>
      </c>
      <c r="B48" s="141" t="s">
        <v>192</v>
      </c>
      <c r="C48" s="137">
        <v>1499900366870</v>
      </c>
      <c r="D48" s="142">
        <v>1499900366870</v>
      </c>
      <c r="E48" s="143" t="s">
        <v>72</v>
      </c>
      <c r="F48" s="128" t="s">
        <v>168</v>
      </c>
      <c r="G48" s="128">
        <f>I48*J48</f>
        <v>8400</v>
      </c>
      <c r="H48" s="144" t="s">
        <v>194</v>
      </c>
      <c r="I48" s="143">
        <v>350</v>
      </c>
      <c r="J48" s="143">
        <v>24</v>
      </c>
      <c r="K48" s="143"/>
      <c r="L48" s="123"/>
      <c r="M48" s="128"/>
      <c r="N48" s="145"/>
      <c r="O48" s="128"/>
      <c r="P48" s="124">
        <v>84</v>
      </c>
      <c r="Q48" s="128"/>
      <c r="R48" s="124">
        <f t="shared" si="0"/>
        <v>8316</v>
      </c>
      <c r="S48" s="128">
        <f t="shared" si="1"/>
        <v>84</v>
      </c>
      <c r="T48" s="124"/>
    </row>
    <row r="49" spans="1:20" ht="21.75">
      <c r="A49" s="117">
        <v>43</v>
      </c>
      <c r="B49" s="180" t="s">
        <v>226</v>
      </c>
      <c r="C49" s="97" t="s">
        <v>227</v>
      </c>
      <c r="D49" s="97" t="s">
        <v>227</v>
      </c>
      <c r="E49" s="182" t="s">
        <v>32</v>
      </c>
      <c r="F49" s="357" t="s">
        <v>169</v>
      </c>
      <c r="G49" s="116">
        <v>12000</v>
      </c>
      <c r="H49" s="347" t="s">
        <v>229</v>
      </c>
      <c r="I49" s="182"/>
      <c r="J49" s="182"/>
      <c r="K49" s="182"/>
      <c r="L49" s="107"/>
      <c r="M49" s="116"/>
      <c r="N49" s="348"/>
      <c r="O49" s="116"/>
      <c r="P49" s="103">
        <v>120</v>
      </c>
      <c r="Q49" s="116"/>
      <c r="R49" s="103">
        <f t="shared" si="0"/>
        <v>11880</v>
      </c>
      <c r="S49" s="116">
        <f t="shared" si="1"/>
        <v>120</v>
      </c>
      <c r="T49" s="103" t="s">
        <v>233</v>
      </c>
    </row>
    <row r="50" spans="1:20" ht="21.75">
      <c r="A50" s="117">
        <v>44</v>
      </c>
      <c r="B50" s="180" t="s">
        <v>225</v>
      </c>
      <c r="C50" s="107" t="s">
        <v>228</v>
      </c>
      <c r="D50" s="107" t="s">
        <v>228</v>
      </c>
      <c r="E50" s="182" t="s">
        <v>32</v>
      </c>
      <c r="F50" s="357" t="s">
        <v>169</v>
      </c>
      <c r="G50" s="116">
        <v>12000</v>
      </c>
      <c r="H50" s="347" t="s">
        <v>230</v>
      </c>
      <c r="I50" s="182"/>
      <c r="J50" s="182"/>
      <c r="K50" s="182"/>
      <c r="L50" s="107"/>
      <c r="M50" s="116"/>
      <c r="N50" s="348"/>
      <c r="O50" s="116"/>
      <c r="P50" s="103">
        <v>120</v>
      </c>
      <c r="Q50" s="116"/>
      <c r="R50" s="103">
        <f t="shared" si="0"/>
        <v>11880</v>
      </c>
      <c r="S50" s="116">
        <f t="shared" si="1"/>
        <v>120</v>
      </c>
      <c r="T50" s="103" t="s">
        <v>233</v>
      </c>
    </row>
    <row r="51" spans="1:20" ht="22.5" thickBot="1">
      <c r="A51" s="402" t="s">
        <v>103</v>
      </c>
      <c r="B51" s="402"/>
      <c r="C51" s="402"/>
      <c r="D51" s="402"/>
      <c r="E51" s="402"/>
      <c r="F51" s="402"/>
      <c r="G51" s="89">
        <f>SUM(G7:G50)</f>
        <v>782070</v>
      </c>
      <c r="H51" s="75"/>
      <c r="I51" s="75"/>
      <c r="J51" s="75"/>
      <c r="K51" s="89">
        <f>SUM(K7:K50)</f>
        <v>0</v>
      </c>
      <c r="L51" s="89">
        <f>SUM(L7:L50)</f>
        <v>0</v>
      </c>
      <c r="M51" s="89">
        <f>SUM(M7:M50)</f>
        <v>0</v>
      </c>
      <c r="N51" s="87"/>
      <c r="O51" s="87"/>
      <c r="P51" s="89">
        <f>SUM(P7:P50)</f>
        <v>5755</v>
      </c>
      <c r="Q51" s="89">
        <f>SUM(Q7:Q50)</f>
        <v>1356</v>
      </c>
      <c r="R51" s="89">
        <f>SUM(R7:R50)</f>
        <v>774959</v>
      </c>
      <c r="S51" s="89">
        <f>SUM(S7:S50)</f>
        <v>5755</v>
      </c>
      <c r="T51" s="310"/>
    </row>
    <row r="52" spans="1:20" ht="23.25" thickTop="1" thickBot="1">
      <c r="A52" s="119"/>
      <c r="B52" s="3"/>
      <c r="C52" s="3"/>
      <c r="D52" s="49"/>
      <c r="E52" s="3"/>
      <c r="F52" s="3"/>
      <c r="G52" s="39"/>
      <c r="H52" s="39"/>
      <c r="I52" s="39"/>
      <c r="J52" s="39"/>
      <c r="K52" s="39"/>
      <c r="L52" s="39"/>
      <c r="M52" s="39"/>
      <c r="N52" s="331"/>
      <c r="O52" s="331"/>
      <c r="P52" s="39"/>
      <c r="Q52" s="166"/>
      <c r="R52" s="39"/>
      <c r="S52" s="76"/>
      <c r="T52" s="5"/>
    </row>
    <row r="53" spans="1:20" ht="66" thickBot="1">
      <c r="A53" s="119"/>
      <c r="B53" s="50" t="s">
        <v>12</v>
      </c>
      <c r="C53" s="3"/>
      <c r="D53" s="49"/>
      <c r="E53" s="3"/>
      <c r="F53" s="3"/>
      <c r="G53" s="39"/>
      <c r="H53" s="156" t="s">
        <v>145</v>
      </c>
      <c r="I53" s="39"/>
      <c r="J53" s="39"/>
      <c r="K53" s="39"/>
      <c r="L53" s="1"/>
      <c r="M53" s="94"/>
      <c r="N53" s="1"/>
      <c r="O53" s="1"/>
      <c r="P53" s="303" t="s">
        <v>158</v>
      </c>
      <c r="Q53" s="153" t="s">
        <v>159</v>
      </c>
      <c r="R53" s="153" t="s">
        <v>190</v>
      </c>
      <c r="S53" s="164" t="s">
        <v>150</v>
      </c>
      <c r="T53" s="153" t="s">
        <v>11</v>
      </c>
    </row>
    <row r="54" spans="1:20" ht="43.5">
      <c r="A54" s="119"/>
      <c r="B54" s="52" t="s">
        <v>156</v>
      </c>
      <c r="C54" s="149"/>
      <c r="D54" s="149">
        <v>1</v>
      </c>
      <c r="E54" s="54" t="s">
        <v>142</v>
      </c>
      <c r="F54" s="54"/>
      <c r="G54" s="55" t="s">
        <v>140</v>
      </c>
      <c r="H54" s="170" t="s">
        <v>141</v>
      </c>
      <c r="I54" s="170">
        <v>13</v>
      </c>
      <c r="J54" s="171" t="s">
        <v>142</v>
      </c>
      <c r="K54" s="148"/>
      <c r="L54" s="1"/>
      <c r="M54" s="94"/>
      <c r="N54" s="1"/>
      <c r="O54" s="1"/>
      <c r="P54" s="16">
        <f>+G26+G27+G32+G33+G34+G35+G36+G37+G38+G40+G45+G47+G48</f>
        <v>117270</v>
      </c>
      <c r="Q54" s="16">
        <f>+P26+P27+P32+P33+P34+P35+P36+P37+P38+P40+P45+P47+P48</f>
        <v>1175</v>
      </c>
      <c r="R54" s="16">
        <f>+M26+M27+M32+M33+M34+M35+M36+M38+M40+M45+M47+M50</f>
        <v>0</v>
      </c>
      <c r="S54" s="24">
        <v>0</v>
      </c>
      <c r="T54" s="349">
        <f>+R26+R27+R32+R33+R34+R35+R36+R37+R38+R40+R45+R47+R48</f>
        <v>116095</v>
      </c>
    </row>
    <row r="55" spans="1:20" ht="21.75">
      <c r="A55" s="119"/>
      <c r="B55" s="56" t="s">
        <v>137</v>
      </c>
      <c r="C55" s="150"/>
      <c r="D55" s="118"/>
      <c r="E55" s="6" t="s">
        <v>142</v>
      </c>
      <c r="F55" s="6"/>
      <c r="G55" s="190" t="s">
        <v>162</v>
      </c>
      <c r="H55" s="173" t="s">
        <v>144</v>
      </c>
      <c r="I55" s="173">
        <v>31</v>
      </c>
      <c r="J55" s="174" t="s">
        <v>142</v>
      </c>
      <c r="K55" s="148"/>
      <c r="L55" s="1"/>
      <c r="M55" s="94"/>
      <c r="N55" s="1"/>
      <c r="O55" s="1"/>
      <c r="P55" s="16">
        <f>G7+G8+G9+G10+G11+G12+G13+G14+G15+G16+G17+G18+G19+G20+G21+G22+G23+G24+G25+G28+G29+G30+G31+G39+G41+G42+G43+G44+G46+G49+G50</f>
        <v>664800</v>
      </c>
      <c r="Q55" s="16">
        <f>+P7+P8+P9+P10+P11+P12+P13+P14+P15+P16+P17+P18+P19+P20+P21+P22+P23+P24+P25+P28+P29+P30+P31+P39+P41+P42+P43+P44+P46+P49+P50</f>
        <v>4580</v>
      </c>
      <c r="R55" s="16">
        <f>+M7+M8+M9+M10+M11+M12+M13+M14+M15+M16+M17+M18+M19+M20+M21+M22+M23+M24+M25+M28+M29+M30+M31+M39+M41+M42+M43+M44+M46</f>
        <v>0</v>
      </c>
      <c r="S55" s="24">
        <f>+Q10+Q13</f>
        <v>1356</v>
      </c>
      <c r="T55" s="16">
        <f>+R7+R8+R9+R10+R11+R12+R13+R14+R15+R16+R17+R18+R19+R20+R21+R22+R23+R24+R25+R28+R29+R30+R31+R39+R41+R42+R43+R44+R46+R49+R50</f>
        <v>658864</v>
      </c>
    </row>
    <row r="56" spans="1:20" ht="24.75" thickBot="1">
      <c r="A56" s="119"/>
      <c r="B56" s="419"/>
      <c r="C56" s="420"/>
      <c r="D56" s="300"/>
      <c r="E56" s="187"/>
      <c r="F56" s="187"/>
      <c r="G56" s="188"/>
      <c r="H56" s="189" t="s">
        <v>147</v>
      </c>
      <c r="I56" s="69">
        <f>SUM(I54:I55)</f>
        <v>44</v>
      </c>
      <c r="J56" s="155" t="s">
        <v>142</v>
      </c>
      <c r="K56" s="154"/>
      <c r="L56" s="154"/>
      <c r="M56" s="307"/>
      <c r="N56" s="1"/>
      <c r="O56" s="1"/>
      <c r="P56" s="308">
        <f>SUM(P54:P55)</f>
        <v>782070</v>
      </c>
      <c r="Q56" s="308">
        <f>SUM(Q54:Q55)</f>
        <v>5755</v>
      </c>
      <c r="R56" s="308">
        <f>SUM(R54:R55)</f>
        <v>0</v>
      </c>
      <c r="S56" s="309">
        <f>SUM(S54:S55)</f>
        <v>1356</v>
      </c>
      <c r="T56" s="308">
        <f>SUM(T54:T55)</f>
        <v>774959</v>
      </c>
    </row>
    <row r="57" spans="1:20" ht="24">
      <c r="A57" s="119"/>
      <c r="B57" s="311"/>
      <c r="C57" s="311"/>
      <c r="D57" s="311"/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4">
      <c r="A58" s="119"/>
      <c r="B58" s="316"/>
      <c r="C58" s="317" t="s">
        <v>104</v>
      </c>
      <c r="D58" s="317"/>
      <c r="E58" s="317"/>
      <c r="F58" s="317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>
        <v>1</v>
      </c>
      <c r="C59" s="7" t="s">
        <v>91</v>
      </c>
      <c r="D59" s="345" t="s">
        <v>92</v>
      </c>
      <c r="E59" s="316" t="s">
        <v>209</v>
      </c>
      <c r="F59" s="356">
        <v>243040</v>
      </c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.75" thickBot="1">
      <c r="A60" s="120"/>
      <c r="B60" s="1"/>
      <c r="C60" s="326"/>
      <c r="D60" s="2"/>
      <c r="E60" s="1"/>
      <c r="F60" s="1"/>
      <c r="G60" s="1"/>
      <c r="H60" s="1"/>
      <c r="I60" s="1"/>
      <c r="J60" s="1"/>
      <c r="K60" s="1"/>
      <c r="L60" s="1"/>
      <c r="M60" s="94"/>
      <c r="N60" s="1"/>
      <c r="O60" s="1"/>
      <c r="P60" s="1"/>
      <c r="Q60" s="168"/>
      <c r="R60" s="1"/>
      <c r="S60" s="76"/>
      <c r="T60" s="1"/>
    </row>
    <row r="61" spans="1:20" ht="22.5" thickBot="1">
      <c r="A61" s="120"/>
      <c r="B61" s="429" t="s">
        <v>214</v>
      </c>
      <c r="C61" s="430"/>
      <c r="D61" s="430"/>
      <c r="E61" s="430"/>
      <c r="F61" s="430"/>
      <c r="G61" s="430"/>
      <c r="H61" s="430"/>
      <c r="I61" s="43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43.5">
      <c r="B62" s="42" t="s">
        <v>167</v>
      </c>
      <c r="C62" s="42" t="s">
        <v>158</v>
      </c>
      <c r="D62" s="346" t="s">
        <v>219</v>
      </c>
      <c r="E62" s="346" t="s">
        <v>220</v>
      </c>
      <c r="F62" s="346" t="s">
        <v>215</v>
      </c>
      <c r="G62" s="43" t="s">
        <v>150</v>
      </c>
      <c r="H62" s="346" t="s">
        <v>172</v>
      </c>
      <c r="I62" s="346" t="s">
        <v>216</v>
      </c>
    </row>
    <row r="63" spans="1:20" ht="21.75">
      <c r="B63" s="199" t="s">
        <v>178</v>
      </c>
      <c r="C63" s="197">
        <f>G7+G12+G14+G15+G16+G17+G18+G21+G22+G23+G24+G25+G26+G27+G28+G31+G32+G33+G34+G35+G36+G37+G38+G39+G40+G41+G42+G43+G45+G47+G48</f>
        <v>543070</v>
      </c>
      <c r="D63" s="197">
        <f>S7+S12+S14+S15+S16+S17+S18+S21+S22+S23+S24+S25+S26+S27+S28+S31+S32+S33+S34+S35+S36+S37+S38+S39+S40+S41+S42+S43+S45+S47+S48</f>
        <v>3875</v>
      </c>
      <c r="E63" s="197">
        <f>P7+P12+P14+P15+P16+P17+P18+P21+P22+P23+P24+P25+P26+P27+P28+P31+P32+P33+P34+P35+P36+P37+P38+P39+P40+P41+P42+P43+P45+P47+P48</f>
        <v>3875</v>
      </c>
      <c r="F63" s="197">
        <f>M27+M33+M34+M35+M36+M38+M40+M45</f>
        <v>0</v>
      </c>
      <c r="G63" s="197">
        <v>0</v>
      </c>
      <c r="H63" s="197">
        <f>D63+E63</f>
        <v>7750</v>
      </c>
      <c r="I63" s="197">
        <f>+C63+D63+F63-H63-G63</f>
        <v>539195</v>
      </c>
    </row>
    <row r="64" spans="1:20" ht="21.75">
      <c r="B64" s="191" t="s">
        <v>175</v>
      </c>
      <c r="C64" s="204">
        <f>G8+G9+G10+G11+G13+G19+G20+G29+G30+G44+G46+G49+G50</f>
        <v>239000</v>
      </c>
      <c r="D64" s="204">
        <f>S8+S9+S10+S11+S13+S19+S20+S29+S30+S44+S46+S49+S50</f>
        <v>1880</v>
      </c>
      <c r="E64" s="204">
        <f>P8+P9+P10+P11+P13+P19+P20+P29+P30+P44+P46+P49+P50</f>
        <v>1880</v>
      </c>
      <c r="F64" s="204"/>
      <c r="G64" s="204">
        <f>Q10+Q13</f>
        <v>1356</v>
      </c>
      <c r="H64" s="204">
        <f>D64+E64</f>
        <v>3760</v>
      </c>
      <c r="I64" s="204">
        <f>+C64+D64+F64-H64-G64</f>
        <v>235764</v>
      </c>
    </row>
    <row r="65" spans="2:9" ht="24">
      <c r="B65" s="195" t="s">
        <v>147</v>
      </c>
      <c r="C65" s="233">
        <f t="shared" ref="C65:I65" si="3">SUM(C63:C64)</f>
        <v>782070</v>
      </c>
      <c r="D65" s="233">
        <f t="shared" si="3"/>
        <v>5755</v>
      </c>
      <c r="E65" s="233">
        <f t="shared" si="3"/>
        <v>5755</v>
      </c>
      <c r="F65" s="233">
        <f t="shared" si="3"/>
        <v>0</v>
      </c>
      <c r="G65" s="233">
        <f t="shared" si="3"/>
        <v>1356</v>
      </c>
      <c r="H65" s="233">
        <f t="shared" si="3"/>
        <v>11510</v>
      </c>
      <c r="I65" s="233">
        <f t="shared" si="3"/>
        <v>774959</v>
      </c>
    </row>
  </sheetData>
  <mergeCells count="20">
    <mergeCell ref="A51:F51"/>
    <mergeCell ref="B56:C56"/>
    <mergeCell ref="B61:I61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7" right="0.7" top="0.75" bottom="0.75" header="0.3" footer="0.3"/>
  <pageSetup scale="49" fitToHeight="0" orientation="landscape" horizontalDpi="0" verticalDpi="0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BA3-2359-4BEF-B78A-58BC67B867F9}">
  <sheetPr>
    <pageSetUpPr fitToPage="1"/>
  </sheetPr>
  <dimension ref="A1:T65"/>
  <sheetViews>
    <sheetView topLeftCell="A46" workbookViewId="0">
      <selection activeCell="B59" sqref="B59:F59"/>
    </sheetView>
  </sheetViews>
  <sheetFormatPr defaultRowHeight="15"/>
  <cols>
    <col min="1" max="1" width="4.42578125" customWidth="1"/>
    <col min="2" max="2" width="22.28515625" customWidth="1"/>
    <col min="3" max="3" width="19.42578125" customWidth="1"/>
    <col min="4" max="4" width="18.28515625" customWidth="1"/>
    <col min="5" max="5" width="15.7109375" customWidth="1"/>
    <col min="6" max="6" width="9.42578125" bestFit="1" customWidth="1"/>
    <col min="7" max="7" width="10.85546875" customWidth="1"/>
    <col min="8" max="8" width="15.5703125" customWidth="1"/>
    <col min="9" max="9" width="10.42578125" customWidth="1"/>
    <col min="16" max="16" width="11" customWidth="1"/>
    <col min="17" max="17" width="11.42578125" customWidth="1"/>
    <col min="18" max="18" width="10.140625" customWidth="1"/>
    <col min="19" max="19" width="10" customWidth="1"/>
    <col min="20" max="20" width="10.140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234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223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222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150</v>
      </c>
      <c r="Q7" s="98"/>
      <c r="R7" s="103">
        <f>SUM(G7+M7-P7-Q7)</f>
        <v>15850</v>
      </c>
      <c r="S7" s="116">
        <f>P7</f>
        <v>150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v>145</v>
      </c>
      <c r="Q8" s="98"/>
      <c r="R8" s="103">
        <f t="shared" ref="R8:R50" si="0">SUM(G8+M8-P8-Q8)</f>
        <v>14355</v>
      </c>
      <c r="S8" s="116">
        <f t="shared" ref="S8:S50" si="1">P8</f>
        <v>145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v>145</v>
      </c>
      <c r="Q9" s="98"/>
      <c r="R9" s="103">
        <f t="shared" si="0"/>
        <v>14355</v>
      </c>
      <c r="S9" s="116">
        <f t="shared" si="1"/>
        <v>145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150</v>
      </c>
      <c r="Q10" s="98">
        <v>651</v>
      </c>
      <c r="R10" s="103">
        <f t="shared" si="0"/>
        <v>16699</v>
      </c>
      <c r="S10" s="116">
        <f t="shared" si="1"/>
        <v>150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150</v>
      </c>
      <c r="Q11" s="98"/>
      <c r="R11" s="103">
        <f t="shared" si="0"/>
        <v>18850</v>
      </c>
      <c r="S11" s="116">
        <f t="shared" si="1"/>
        <v>150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150</v>
      </c>
      <c r="Q12" s="98"/>
      <c r="R12" s="103">
        <f t="shared" si="0"/>
        <v>20850</v>
      </c>
      <c r="S12" s="116">
        <f t="shared" si="1"/>
        <v>150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150</v>
      </c>
      <c r="Q13" s="98">
        <v>705</v>
      </c>
      <c r="R13" s="103">
        <f t="shared" si="0"/>
        <v>22145</v>
      </c>
      <c r="S13" s="116">
        <f t="shared" si="1"/>
        <v>150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150</v>
      </c>
      <c r="Q14" s="98"/>
      <c r="R14" s="103">
        <f t="shared" si="0"/>
        <v>24850</v>
      </c>
      <c r="S14" s="116">
        <f t="shared" si="1"/>
        <v>150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150</v>
      </c>
      <c r="Q15" s="98"/>
      <c r="R15" s="103">
        <f t="shared" si="0"/>
        <v>20850</v>
      </c>
      <c r="S15" s="116">
        <f t="shared" si="1"/>
        <v>150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150</v>
      </c>
      <c r="Q16" s="98"/>
      <c r="R16" s="103">
        <f t="shared" si="0"/>
        <v>18850</v>
      </c>
      <c r="S16" s="116">
        <f t="shared" si="1"/>
        <v>150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150</v>
      </c>
      <c r="Q17" s="98"/>
      <c r="R17" s="103">
        <f t="shared" si="0"/>
        <v>24850</v>
      </c>
      <c r="S17" s="116">
        <f t="shared" si="1"/>
        <v>150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150</v>
      </c>
      <c r="Q18" s="98"/>
      <c r="R18" s="103">
        <f t="shared" si="0"/>
        <v>23650</v>
      </c>
      <c r="S18" s="116">
        <f t="shared" si="1"/>
        <v>150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150</v>
      </c>
      <c r="Q19" s="98"/>
      <c r="R19" s="103">
        <f t="shared" si="0"/>
        <v>24850</v>
      </c>
      <c r="S19" s="116">
        <f t="shared" si="1"/>
        <v>150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150</v>
      </c>
      <c r="Q20" s="98"/>
      <c r="R20" s="103">
        <f t="shared" si="0"/>
        <v>24850</v>
      </c>
      <c r="S20" s="116">
        <f t="shared" si="1"/>
        <v>150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150</v>
      </c>
      <c r="Q21" s="98"/>
      <c r="R21" s="103">
        <f t="shared" si="0"/>
        <v>24850</v>
      </c>
      <c r="S21" s="116">
        <f t="shared" si="1"/>
        <v>150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150</v>
      </c>
      <c r="Q22" s="98"/>
      <c r="R22" s="103">
        <f t="shared" si="0"/>
        <v>24850</v>
      </c>
      <c r="S22" s="116">
        <f t="shared" si="1"/>
        <v>150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150</v>
      </c>
      <c r="Q23" s="98"/>
      <c r="R23" s="103">
        <f t="shared" si="0"/>
        <v>24850</v>
      </c>
      <c r="S23" s="116">
        <f t="shared" si="1"/>
        <v>150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150</v>
      </c>
      <c r="Q24" s="98"/>
      <c r="R24" s="103">
        <f t="shared" si="0"/>
        <v>24850</v>
      </c>
      <c r="S24" s="116">
        <f t="shared" si="1"/>
        <v>150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150</v>
      </c>
      <c r="Q25" s="98"/>
      <c r="R25" s="103">
        <f t="shared" si="0"/>
        <v>24850</v>
      </c>
      <c r="S25" s="116">
        <f t="shared" si="1"/>
        <v>150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10560</v>
      </c>
      <c r="H26" s="123"/>
      <c r="I26" s="123">
        <v>440</v>
      </c>
      <c r="J26" s="123">
        <v>24</v>
      </c>
      <c r="K26" s="123"/>
      <c r="L26" s="123"/>
      <c r="M26" s="124"/>
      <c r="N26" s="126"/>
      <c r="O26" s="124"/>
      <c r="P26" s="124">
        <v>106</v>
      </c>
      <c r="Q26" s="135"/>
      <c r="R26" s="124">
        <f t="shared" si="0"/>
        <v>10454</v>
      </c>
      <c r="S26" s="128">
        <f t="shared" si="1"/>
        <v>106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8880</v>
      </c>
      <c r="H27" s="123"/>
      <c r="I27" s="123">
        <v>370</v>
      </c>
      <c r="J27" s="123">
        <v>24</v>
      </c>
      <c r="K27" s="123"/>
      <c r="L27" s="123"/>
      <c r="M27" s="124"/>
      <c r="N27" s="126"/>
      <c r="O27" s="124"/>
      <c r="P27" s="124">
        <v>89</v>
      </c>
      <c r="Q27" s="135"/>
      <c r="R27" s="124">
        <f t="shared" si="0"/>
        <v>8791</v>
      </c>
      <c r="S27" s="128">
        <f t="shared" si="1"/>
        <v>89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150</v>
      </c>
      <c r="Q28" s="98"/>
      <c r="R28" s="103">
        <f t="shared" si="0"/>
        <v>24850</v>
      </c>
      <c r="S28" s="116">
        <f t="shared" si="1"/>
        <v>150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150</v>
      </c>
      <c r="Q29" s="98"/>
      <c r="R29" s="103">
        <f t="shared" si="0"/>
        <v>16850</v>
      </c>
      <c r="S29" s="116">
        <f t="shared" si="1"/>
        <v>150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150</v>
      </c>
      <c r="Q30" s="98"/>
      <c r="R30" s="103">
        <f t="shared" si="0"/>
        <v>16850</v>
      </c>
      <c r="S30" s="116">
        <f t="shared" si="1"/>
        <v>150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150</v>
      </c>
      <c r="Q31" s="98"/>
      <c r="R31" s="103">
        <f t="shared" si="0"/>
        <v>24850</v>
      </c>
      <c r="S31" s="116">
        <f t="shared" si="1"/>
        <v>150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10500</v>
      </c>
      <c r="H32" s="125" t="s">
        <v>88</v>
      </c>
      <c r="I32" s="123">
        <v>420</v>
      </c>
      <c r="J32" s="123">
        <v>25</v>
      </c>
      <c r="K32" s="123"/>
      <c r="L32" s="123"/>
      <c r="M32" s="124"/>
      <c r="N32" s="126"/>
      <c r="O32" s="124"/>
      <c r="P32" s="124">
        <v>105</v>
      </c>
      <c r="Q32" s="135"/>
      <c r="R32" s="124">
        <f t="shared" si="0"/>
        <v>10395</v>
      </c>
      <c r="S32" s="128">
        <f t="shared" si="1"/>
        <v>105</v>
      </c>
      <c r="T32" s="124"/>
    </row>
    <row r="33" spans="1:20" ht="21.75">
      <c r="A33" s="121">
        <v>27</v>
      </c>
      <c r="B33" s="122" t="s">
        <v>94</v>
      </c>
      <c r="C33" s="130">
        <v>6016200526744</v>
      </c>
      <c r="D33" s="137">
        <v>991016244128</v>
      </c>
      <c r="E33" s="123" t="s">
        <v>95</v>
      </c>
      <c r="F33" s="124" t="s">
        <v>168</v>
      </c>
      <c r="G33" s="124">
        <f>I33*J33</f>
        <v>8500</v>
      </c>
      <c r="H33" s="125" t="s">
        <v>96</v>
      </c>
      <c r="I33" s="123">
        <v>340</v>
      </c>
      <c r="J33" s="123">
        <v>25</v>
      </c>
      <c r="K33" s="123"/>
      <c r="L33" s="123"/>
      <c r="M33" s="124"/>
      <c r="N33" s="126"/>
      <c r="O33" s="124"/>
      <c r="P33" s="124">
        <v>85</v>
      </c>
      <c r="Q33" s="135"/>
      <c r="R33" s="124">
        <f t="shared" si="0"/>
        <v>8415</v>
      </c>
      <c r="S33" s="128">
        <f t="shared" si="1"/>
        <v>85</v>
      </c>
      <c r="T33" s="124"/>
    </row>
    <row r="34" spans="1:20" ht="21.75">
      <c r="A34" s="121">
        <v>28</v>
      </c>
      <c r="B34" s="122" t="s">
        <v>97</v>
      </c>
      <c r="C34" s="130">
        <v>6016200526680</v>
      </c>
      <c r="D34" s="137">
        <v>991016243920</v>
      </c>
      <c r="E34" s="123" t="s">
        <v>95</v>
      </c>
      <c r="F34" s="124" t="s">
        <v>168</v>
      </c>
      <c r="G34" s="124">
        <f t="shared" ref="G34:G38" si="2">I34*J34</f>
        <v>8500</v>
      </c>
      <c r="H34" s="125" t="s">
        <v>96</v>
      </c>
      <c r="I34" s="123">
        <v>340</v>
      </c>
      <c r="J34" s="123">
        <v>25</v>
      </c>
      <c r="K34" s="123"/>
      <c r="L34" s="123"/>
      <c r="M34" s="124"/>
      <c r="N34" s="126"/>
      <c r="O34" s="124"/>
      <c r="P34" s="124">
        <v>85</v>
      </c>
      <c r="Q34" s="135"/>
      <c r="R34" s="124">
        <f t="shared" si="0"/>
        <v>8415</v>
      </c>
      <c r="S34" s="128">
        <f t="shared" si="1"/>
        <v>85</v>
      </c>
      <c r="T34" s="124"/>
    </row>
    <row r="35" spans="1:20" ht="21.75">
      <c r="A35" s="121">
        <v>29</v>
      </c>
      <c r="B35" s="122" t="s">
        <v>98</v>
      </c>
      <c r="C35" s="130">
        <v>6016200526639</v>
      </c>
      <c r="D35" s="137">
        <v>991016243091</v>
      </c>
      <c r="E35" s="123" t="s">
        <v>95</v>
      </c>
      <c r="F35" s="124" t="s">
        <v>168</v>
      </c>
      <c r="G35" s="124">
        <f t="shared" si="2"/>
        <v>8500</v>
      </c>
      <c r="H35" s="125" t="s">
        <v>96</v>
      </c>
      <c r="I35" s="123">
        <v>340</v>
      </c>
      <c r="J35" s="123">
        <v>25</v>
      </c>
      <c r="K35" s="123"/>
      <c r="L35" s="123"/>
      <c r="M35" s="124"/>
      <c r="N35" s="126"/>
      <c r="O35" s="124"/>
      <c r="P35" s="124">
        <v>85</v>
      </c>
      <c r="Q35" s="135"/>
      <c r="R35" s="124">
        <f t="shared" si="0"/>
        <v>8415</v>
      </c>
      <c r="S35" s="128">
        <f t="shared" si="1"/>
        <v>85</v>
      </c>
      <c r="T35" s="124"/>
    </row>
    <row r="36" spans="1:20" ht="21.75">
      <c r="A36" s="121">
        <v>30</v>
      </c>
      <c r="B36" s="122" t="s">
        <v>99</v>
      </c>
      <c r="C36" s="130">
        <v>6016200526591</v>
      </c>
      <c r="D36" s="137">
        <v>991016242486</v>
      </c>
      <c r="E36" s="123" t="s">
        <v>95</v>
      </c>
      <c r="F36" s="124" t="s">
        <v>168</v>
      </c>
      <c r="G36" s="124">
        <f t="shared" si="2"/>
        <v>8500</v>
      </c>
      <c r="H36" s="125" t="s">
        <v>96</v>
      </c>
      <c r="I36" s="123">
        <v>340</v>
      </c>
      <c r="J36" s="123">
        <v>25</v>
      </c>
      <c r="K36" s="123"/>
      <c r="L36" s="123"/>
      <c r="M36" s="124"/>
      <c r="N36" s="126"/>
      <c r="O36" s="124"/>
      <c r="P36" s="124">
        <v>85</v>
      </c>
      <c r="Q36" s="135"/>
      <c r="R36" s="124">
        <f t="shared" si="0"/>
        <v>8415</v>
      </c>
      <c r="S36" s="128">
        <f t="shared" si="1"/>
        <v>85</v>
      </c>
      <c r="T36" s="124"/>
    </row>
    <row r="37" spans="1:20" ht="21.75">
      <c r="A37" s="121">
        <v>31</v>
      </c>
      <c r="B37" s="131" t="s">
        <v>108</v>
      </c>
      <c r="C37" s="132" t="s">
        <v>109</v>
      </c>
      <c r="D37" s="137">
        <v>1229900526551</v>
      </c>
      <c r="E37" s="132" t="s">
        <v>72</v>
      </c>
      <c r="F37" s="124" t="s">
        <v>168</v>
      </c>
      <c r="G37" s="124">
        <f t="shared" si="2"/>
        <v>11000</v>
      </c>
      <c r="H37" s="133" t="s">
        <v>107</v>
      </c>
      <c r="I37" s="132">
        <v>440</v>
      </c>
      <c r="J37" s="132">
        <v>25</v>
      </c>
      <c r="K37" s="132"/>
      <c r="L37" s="123"/>
      <c r="M37" s="135"/>
      <c r="N37" s="134"/>
      <c r="O37" s="135"/>
      <c r="P37" s="124">
        <v>110</v>
      </c>
      <c r="Q37" s="135"/>
      <c r="R37" s="124">
        <f t="shared" si="0"/>
        <v>10890</v>
      </c>
      <c r="S37" s="128">
        <f t="shared" si="1"/>
        <v>110</v>
      </c>
      <c r="T37" s="124"/>
    </row>
    <row r="38" spans="1:20" ht="21.75">
      <c r="A38" s="121">
        <v>32</v>
      </c>
      <c r="B38" s="131" t="s">
        <v>112</v>
      </c>
      <c r="C38" s="137">
        <v>6016300837709</v>
      </c>
      <c r="D38" s="137">
        <v>991019747724</v>
      </c>
      <c r="E38" s="132" t="s">
        <v>95</v>
      </c>
      <c r="F38" s="124" t="s">
        <v>168</v>
      </c>
      <c r="G38" s="124">
        <f t="shared" si="2"/>
        <v>8500</v>
      </c>
      <c r="H38" s="133" t="s">
        <v>111</v>
      </c>
      <c r="I38" s="132">
        <v>340</v>
      </c>
      <c r="J38" s="132">
        <v>25</v>
      </c>
      <c r="K38" s="132"/>
      <c r="L38" s="132"/>
      <c r="M38" s="135"/>
      <c r="N38" s="134"/>
      <c r="O38" s="135"/>
      <c r="P38" s="124">
        <v>85</v>
      </c>
      <c r="Q38" s="135"/>
      <c r="R38" s="124">
        <f t="shared" si="0"/>
        <v>8415</v>
      </c>
      <c r="S38" s="128">
        <f t="shared" si="1"/>
        <v>85</v>
      </c>
      <c r="T38" s="124"/>
    </row>
    <row r="39" spans="1:20" ht="21.75">
      <c r="A39" s="117">
        <v>33</v>
      </c>
      <c r="B39" s="106" t="s">
        <v>100</v>
      </c>
      <c r="C39" s="111">
        <v>1101500149087</v>
      </c>
      <c r="D39" s="97">
        <v>1101500149087</v>
      </c>
      <c r="E39" s="107" t="s">
        <v>44</v>
      </c>
      <c r="F39" s="198" t="s">
        <v>168</v>
      </c>
      <c r="G39" s="103">
        <v>25000</v>
      </c>
      <c r="H39" s="112" t="s">
        <v>101</v>
      </c>
      <c r="I39" s="107"/>
      <c r="J39" s="107"/>
      <c r="K39" s="107"/>
      <c r="L39" s="107"/>
      <c r="M39" s="103"/>
      <c r="N39" s="109"/>
      <c r="O39" s="103"/>
      <c r="P39" s="103">
        <v>150</v>
      </c>
      <c r="Q39" s="98"/>
      <c r="R39" s="103">
        <f t="shared" si="0"/>
        <v>24850</v>
      </c>
      <c r="S39" s="116">
        <f t="shared" si="1"/>
        <v>150</v>
      </c>
      <c r="T39" s="100"/>
    </row>
    <row r="40" spans="1:20" ht="21.75">
      <c r="A40" s="121">
        <v>34</v>
      </c>
      <c r="B40" s="122" t="s">
        <v>102</v>
      </c>
      <c r="C40" s="130">
        <v>6016201374921</v>
      </c>
      <c r="D40" s="137">
        <v>991017408884</v>
      </c>
      <c r="E40" s="123" t="s">
        <v>95</v>
      </c>
      <c r="F40" s="124" t="s">
        <v>168</v>
      </c>
      <c r="G40" s="124">
        <f>+I40*J40</f>
        <v>8500</v>
      </c>
      <c r="H40" s="138" t="s">
        <v>106</v>
      </c>
      <c r="I40" s="123">
        <v>340</v>
      </c>
      <c r="J40" s="123">
        <v>25</v>
      </c>
      <c r="K40" s="123"/>
      <c r="L40" s="123"/>
      <c r="M40" s="124"/>
      <c r="N40" s="126"/>
      <c r="O40" s="124"/>
      <c r="P40" s="124">
        <v>85</v>
      </c>
      <c r="Q40" s="135"/>
      <c r="R40" s="124">
        <f t="shared" si="0"/>
        <v>8415</v>
      </c>
      <c r="S40" s="128">
        <f t="shared" si="1"/>
        <v>85</v>
      </c>
      <c r="T40" s="124"/>
    </row>
    <row r="41" spans="1:20" ht="21.75">
      <c r="A41" s="117">
        <v>35</v>
      </c>
      <c r="B41" s="96" t="s">
        <v>118</v>
      </c>
      <c r="C41" s="97">
        <v>1229900643638</v>
      </c>
      <c r="D41" s="97">
        <v>1229900643638</v>
      </c>
      <c r="E41" s="95" t="s">
        <v>44</v>
      </c>
      <c r="F41" s="248" t="s">
        <v>168</v>
      </c>
      <c r="G41" s="98">
        <v>25000</v>
      </c>
      <c r="H41" s="99" t="s">
        <v>119</v>
      </c>
      <c r="I41" s="95"/>
      <c r="J41" s="95"/>
      <c r="K41" s="95"/>
      <c r="L41" s="107"/>
      <c r="M41" s="98"/>
      <c r="N41" s="115"/>
      <c r="O41" s="98"/>
      <c r="P41" s="103">
        <v>150</v>
      </c>
      <c r="Q41" s="98"/>
      <c r="R41" s="103">
        <f t="shared" si="0"/>
        <v>24850</v>
      </c>
      <c r="S41" s="116">
        <f t="shared" si="1"/>
        <v>150</v>
      </c>
      <c r="T41" s="100"/>
    </row>
    <row r="42" spans="1:20" ht="21.75">
      <c r="A42" s="117">
        <v>36</v>
      </c>
      <c r="B42" s="96" t="s">
        <v>120</v>
      </c>
      <c r="C42" s="97">
        <v>3402000037896</v>
      </c>
      <c r="D42" s="97">
        <v>3402000037896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150</v>
      </c>
      <c r="Q42" s="98"/>
      <c r="R42" s="103">
        <f t="shared" si="0"/>
        <v>24850</v>
      </c>
      <c r="S42" s="116">
        <f t="shared" si="1"/>
        <v>150</v>
      </c>
      <c r="T42" s="100"/>
    </row>
    <row r="43" spans="1:20" ht="21.75">
      <c r="A43" s="117">
        <v>37</v>
      </c>
      <c r="B43" s="96" t="s">
        <v>121</v>
      </c>
      <c r="C43" s="97">
        <v>3341600658671</v>
      </c>
      <c r="D43" s="97">
        <v>3341600658671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150</v>
      </c>
      <c r="Q43" s="98"/>
      <c r="R43" s="103">
        <f t="shared" si="0"/>
        <v>24850</v>
      </c>
      <c r="S43" s="116">
        <f t="shared" si="1"/>
        <v>150</v>
      </c>
      <c r="T43" s="100"/>
    </row>
    <row r="44" spans="1:20" ht="21.75">
      <c r="A44" s="117">
        <v>38</v>
      </c>
      <c r="B44" s="96" t="s">
        <v>122</v>
      </c>
      <c r="C44" s="97">
        <v>3930100204585</v>
      </c>
      <c r="D44" s="97">
        <v>3930100204585</v>
      </c>
      <c r="E44" s="95" t="s">
        <v>19</v>
      </c>
      <c r="F44" s="353" t="s">
        <v>169</v>
      </c>
      <c r="G44" s="98">
        <v>16500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150</v>
      </c>
      <c r="Q44" s="98"/>
      <c r="R44" s="103">
        <f t="shared" si="0"/>
        <v>16350</v>
      </c>
      <c r="S44" s="116">
        <f t="shared" si="1"/>
        <v>150</v>
      </c>
      <c r="T44" s="100"/>
    </row>
    <row r="45" spans="1:20" ht="21.75">
      <c r="A45" s="121">
        <v>39</v>
      </c>
      <c r="B45" s="141" t="s">
        <v>138</v>
      </c>
      <c r="C45" s="142">
        <v>1461000135963</v>
      </c>
      <c r="D45" s="137">
        <v>1461000135963</v>
      </c>
      <c r="E45" s="143" t="s">
        <v>95</v>
      </c>
      <c r="F45" s="128" t="s">
        <v>168</v>
      </c>
      <c r="G45" s="128">
        <f>I45*J45</f>
        <v>8640</v>
      </c>
      <c r="H45" s="144" t="s">
        <v>139</v>
      </c>
      <c r="I45" s="143">
        <v>360</v>
      </c>
      <c r="J45" s="143">
        <v>24</v>
      </c>
      <c r="K45" s="143"/>
      <c r="L45" s="123"/>
      <c r="M45" s="128"/>
      <c r="N45" s="145"/>
      <c r="O45" s="128"/>
      <c r="P45" s="124">
        <v>86</v>
      </c>
      <c r="Q45" s="128"/>
      <c r="R45" s="124">
        <f t="shared" si="0"/>
        <v>8554</v>
      </c>
      <c r="S45" s="128">
        <f t="shared" si="1"/>
        <v>86</v>
      </c>
      <c r="T45" s="124"/>
    </row>
    <row r="46" spans="1:20" ht="21.75">
      <c r="A46" s="117">
        <v>40</v>
      </c>
      <c r="B46" s="180" t="s">
        <v>163</v>
      </c>
      <c r="C46" s="181">
        <v>6016100144033</v>
      </c>
      <c r="D46" s="97">
        <v>239989001934</v>
      </c>
      <c r="E46" s="182" t="s">
        <v>32</v>
      </c>
      <c r="F46" s="352" t="s">
        <v>169</v>
      </c>
      <c r="G46" s="116">
        <v>26000</v>
      </c>
      <c r="H46" s="99" t="s">
        <v>164</v>
      </c>
      <c r="I46" s="95"/>
      <c r="J46" s="95"/>
      <c r="K46" s="183"/>
      <c r="L46" s="107"/>
      <c r="M46" s="185"/>
      <c r="N46" s="115"/>
      <c r="O46" s="185"/>
      <c r="P46" s="103">
        <v>150</v>
      </c>
      <c r="Q46" s="116"/>
      <c r="R46" s="103">
        <f t="shared" si="0"/>
        <v>25850</v>
      </c>
      <c r="S46" s="116">
        <f t="shared" si="1"/>
        <v>150</v>
      </c>
      <c r="T46" s="100"/>
    </row>
    <row r="47" spans="1:20" ht="21.75">
      <c r="A47" s="121">
        <v>41</v>
      </c>
      <c r="B47" s="141" t="s">
        <v>191</v>
      </c>
      <c r="C47" s="137">
        <v>3220400075728</v>
      </c>
      <c r="D47" s="142">
        <v>3220400075728</v>
      </c>
      <c r="E47" s="143" t="s">
        <v>72</v>
      </c>
      <c r="F47" s="128" t="s">
        <v>168</v>
      </c>
      <c r="G47" s="128">
        <f>I47*J47</f>
        <v>1100</v>
      </c>
      <c r="H47" s="144" t="s">
        <v>194</v>
      </c>
      <c r="I47" s="143">
        <v>440</v>
      </c>
      <c r="J47" s="143">
        <v>2.5</v>
      </c>
      <c r="K47" s="143"/>
      <c r="L47" s="123"/>
      <c r="M47" s="128"/>
      <c r="N47" s="145"/>
      <c r="O47" s="128"/>
      <c r="P47" s="124">
        <v>17</v>
      </c>
      <c r="Q47" s="128"/>
      <c r="R47" s="124">
        <f t="shared" si="0"/>
        <v>1083</v>
      </c>
      <c r="S47" s="128">
        <f t="shared" si="1"/>
        <v>17</v>
      </c>
      <c r="T47" s="124"/>
    </row>
    <row r="48" spans="1:20" ht="21.75">
      <c r="A48" s="121">
        <v>42</v>
      </c>
      <c r="B48" s="141" t="s">
        <v>192</v>
      </c>
      <c r="C48" s="137">
        <v>1499900366870</v>
      </c>
      <c r="D48" s="142">
        <v>1499900366870</v>
      </c>
      <c r="E48" s="143" t="s">
        <v>72</v>
      </c>
      <c r="F48" s="128" t="s">
        <v>168</v>
      </c>
      <c r="G48" s="128">
        <f>I48*J48</f>
        <v>7350</v>
      </c>
      <c r="H48" s="144" t="s">
        <v>194</v>
      </c>
      <c r="I48" s="143">
        <v>350</v>
      </c>
      <c r="J48" s="143">
        <v>21</v>
      </c>
      <c r="K48" s="143"/>
      <c r="L48" s="123"/>
      <c r="M48" s="128"/>
      <c r="N48" s="145"/>
      <c r="O48" s="128"/>
      <c r="P48" s="124">
        <v>74</v>
      </c>
      <c r="Q48" s="128"/>
      <c r="R48" s="124">
        <f t="shared" si="0"/>
        <v>7276</v>
      </c>
      <c r="S48" s="128">
        <f t="shared" si="1"/>
        <v>74</v>
      </c>
      <c r="T48" s="124"/>
    </row>
    <row r="49" spans="1:20" ht="21.75">
      <c r="A49" s="117">
        <v>43</v>
      </c>
      <c r="B49" s="180" t="s">
        <v>226</v>
      </c>
      <c r="C49" s="97" t="s">
        <v>227</v>
      </c>
      <c r="D49" s="97" t="s">
        <v>227</v>
      </c>
      <c r="E49" s="182" t="s">
        <v>32</v>
      </c>
      <c r="F49" s="357" t="s">
        <v>169</v>
      </c>
      <c r="G49" s="116">
        <v>12000</v>
      </c>
      <c r="H49" s="347" t="s">
        <v>229</v>
      </c>
      <c r="I49" s="182"/>
      <c r="J49" s="182"/>
      <c r="K49" s="182"/>
      <c r="L49" s="107"/>
      <c r="M49" s="116"/>
      <c r="N49" s="348"/>
      <c r="O49" s="116"/>
      <c r="P49" s="103">
        <v>120</v>
      </c>
      <c r="Q49" s="116"/>
      <c r="R49" s="103">
        <f t="shared" si="0"/>
        <v>11880</v>
      </c>
      <c r="S49" s="116">
        <f t="shared" si="1"/>
        <v>120</v>
      </c>
      <c r="T49" s="103" t="s">
        <v>233</v>
      </c>
    </row>
    <row r="50" spans="1:20" ht="21.75">
      <c r="A50" s="117">
        <v>44</v>
      </c>
      <c r="B50" s="180" t="s">
        <v>225</v>
      </c>
      <c r="C50" s="107" t="s">
        <v>228</v>
      </c>
      <c r="D50" s="107" t="s">
        <v>228</v>
      </c>
      <c r="E50" s="182" t="s">
        <v>32</v>
      </c>
      <c r="F50" s="357" t="s">
        <v>169</v>
      </c>
      <c r="G50" s="116">
        <v>12000</v>
      </c>
      <c r="H50" s="347" t="s">
        <v>230</v>
      </c>
      <c r="I50" s="182"/>
      <c r="J50" s="182"/>
      <c r="K50" s="182"/>
      <c r="L50" s="107"/>
      <c r="M50" s="116"/>
      <c r="N50" s="348"/>
      <c r="O50" s="116"/>
      <c r="P50" s="103">
        <v>120</v>
      </c>
      <c r="Q50" s="116"/>
      <c r="R50" s="103">
        <f t="shared" si="0"/>
        <v>11880</v>
      </c>
      <c r="S50" s="116">
        <f t="shared" si="1"/>
        <v>120</v>
      </c>
      <c r="T50" s="103" t="s">
        <v>233</v>
      </c>
    </row>
    <row r="51" spans="1:20" ht="22.5" thickBot="1">
      <c r="A51" s="402" t="s">
        <v>103</v>
      </c>
      <c r="B51" s="402"/>
      <c r="C51" s="402"/>
      <c r="D51" s="402"/>
      <c r="E51" s="402"/>
      <c r="F51" s="402"/>
      <c r="G51" s="89">
        <f>SUM(G7:G50)</f>
        <v>773830</v>
      </c>
      <c r="H51" s="75"/>
      <c r="I51" s="75"/>
      <c r="J51" s="75"/>
      <c r="K51" s="89">
        <f>SUM(K7:K50)</f>
        <v>0</v>
      </c>
      <c r="L51" s="89">
        <f>SUM(L7:L50)</f>
        <v>0</v>
      </c>
      <c r="M51" s="89">
        <f>SUM(M7:M50)</f>
        <v>0</v>
      </c>
      <c r="N51" s="87"/>
      <c r="O51" s="87"/>
      <c r="P51" s="89">
        <f>SUM(P7:P50)</f>
        <v>5677</v>
      </c>
      <c r="Q51" s="89">
        <f>SUM(Q7:Q50)</f>
        <v>1356</v>
      </c>
      <c r="R51" s="89">
        <f>SUM(R7:R50)</f>
        <v>766797</v>
      </c>
      <c r="S51" s="89">
        <f>SUM(S7:S50)</f>
        <v>5677</v>
      </c>
      <c r="T51" s="310"/>
    </row>
    <row r="52" spans="1:20" ht="23.25" thickTop="1" thickBot="1">
      <c r="A52" s="119"/>
      <c r="B52" s="3"/>
      <c r="C52" s="3"/>
      <c r="D52" s="49"/>
      <c r="E52" s="3"/>
      <c r="F52" s="3"/>
      <c r="G52" s="39"/>
      <c r="H52" s="39"/>
      <c r="I52" s="39"/>
      <c r="J52" s="39"/>
      <c r="K52" s="39"/>
      <c r="L52" s="39"/>
      <c r="M52" s="39"/>
      <c r="N52" s="331"/>
      <c r="O52" s="331"/>
      <c r="P52" s="39"/>
      <c r="Q52" s="166"/>
      <c r="R52" s="39"/>
      <c r="S52" s="76"/>
      <c r="T52" s="5"/>
    </row>
    <row r="53" spans="1:20" ht="66" thickBot="1">
      <c r="A53" s="119"/>
      <c r="B53" s="50" t="s">
        <v>12</v>
      </c>
      <c r="C53" s="3"/>
      <c r="D53" s="49"/>
      <c r="E53" s="3"/>
      <c r="F53" s="3"/>
      <c r="G53" s="39"/>
      <c r="H53" s="156" t="s">
        <v>145</v>
      </c>
      <c r="I53" s="39"/>
      <c r="J53" s="39"/>
      <c r="K53" s="39"/>
      <c r="L53" s="1"/>
      <c r="M53" s="94"/>
      <c r="N53" s="1"/>
      <c r="O53" s="1"/>
      <c r="P53" s="303" t="s">
        <v>158</v>
      </c>
      <c r="Q53" s="153" t="s">
        <v>159</v>
      </c>
      <c r="R53" s="153" t="s">
        <v>190</v>
      </c>
      <c r="S53" s="164" t="s">
        <v>150</v>
      </c>
      <c r="T53" s="153" t="s">
        <v>11</v>
      </c>
    </row>
    <row r="54" spans="1:20" ht="43.5">
      <c r="A54" s="119"/>
      <c r="B54" s="52" t="s">
        <v>156</v>
      </c>
      <c r="C54" s="149"/>
      <c r="D54" s="149">
        <v>1</v>
      </c>
      <c r="E54" s="54" t="s">
        <v>142</v>
      </c>
      <c r="F54" s="54"/>
      <c r="G54" s="55" t="s">
        <v>140</v>
      </c>
      <c r="H54" s="170" t="s">
        <v>141</v>
      </c>
      <c r="I54" s="170">
        <v>13</v>
      </c>
      <c r="J54" s="171" t="s">
        <v>142</v>
      </c>
      <c r="K54" s="148"/>
      <c r="L54" s="1"/>
      <c r="M54" s="94"/>
      <c r="N54" s="1"/>
      <c r="O54" s="1"/>
      <c r="P54" s="16">
        <f>+G26+G27+G32+G33+G34+G35+G36+G37+G38+G40+G45+G47+G48</f>
        <v>109030</v>
      </c>
      <c r="Q54" s="16">
        <f>+P26+P27+P32+P33+P34+P35+P36+P37+P38+P40+P45+P47+P48</f>
        <v>1097</v>
      </c>
      <c r="R54" s="16">
        <f>+M26+M27+M32+M33+M34+M35+M36+M38+M40+M45+M47+M50</f>
        <v>0</v>
      </c>
      <c r="S54" s="24">
        <v>0</v>
      </c>
      <c r="T54" s="349">
        <f>+R26+R27+R32+R33+R34+R35+R36+R37+R38+R40+R45+R47+R48</f>
        <v>107933</v>
      </c>
    </row>
    <row r="55" spans="1:20" ht="21.75">
      <c r="A55" s="119"/>
      <c r="B55" s="56" t="s">
        <v>137</v>
      </c>
      <c r="C55" s="150"/>
      <c r="D55" s="118"/>
      <c r="E55" s="6" t="s">
        <v>142</v>
      </c>
      <c r="F55" s="6"/>
      <c r="G55" s="190" t="s">
        <v>162</v>
      </c>
      <c r="H55" s="173" t="s">
        <v>144</v>
      </c>
      <c r="I55" s="173">
        <v>31</v>
      </c>
      <c r="J55" s="174" t="s">
        <v>142</v>
      </c>
      <c r="K55" s="148"/>
      <c r="L55" s="1"/>
      <c r="M55" s="94"/>
      <c r="N55" s="1"/>
      <c r="O55" s="1"/>
      <c r="P55" s="16">
        <f>G7+G8+G9+G10+G11+G12+G13+G14+G15+G16+G17+G18+G19+G20+G21+G22+G23+G24+G25+G28+G29+G30+G31+G39+G41+G42+G43+G44+G46+G49+G50</f>
        <v>664800</v>
      </c>
      <c r="Q55" s="16">
        <f>+P7+P8+P9+P10+P11+P12+P13+P14+P15+P16+P17+P18+P19+P20+P21+P22+P23+P24+P25+P28+P29+P30+P31+P39+P41+P42+P43+P44+P46+P49+P50</f>
        <v>4580</v>
      </c>
      <c r="R55" s="16">
        <f>+M7+M8+M9+M10+M11+M12+M13+M14+M15+M16+M17+M18+M19+M20+M21+M22+M23+M24+M25+M28+M29+M30+M31+M39+M41+M42+M43+M44+M46</f>
        <v>0</v>
      </c>
      <c r="S55" s="24">
        <f>+Q10+Q13</f>
        <v>1356</v>
      </c>
      <c r="T55" s="16">
        <f>+R7+R8+R9+R10+R11+R12+R13+R14+R15+R16+R17+R18+R19+R20+R21+R22+R23+R24+R25+R28+R29+R30+R31+R39+R41+R42+R43+R44+R46+R49+R50</f>
        <v>658864</v>
      </c>
    </row>
    <row r="56" spans="1:20" ht="24.75" thickBot="1">
      <c r="A56" s="119"/>
      <c r="B56" s="419"/>
      <c r="C56" s="420"/>
      <c r="D56" s="300"/>
      <c r="E56" s="187"/>
      <c r="F56" s="187"/>
      <c r="G56" s="188"/>
      <c r="H56" s="189" t="s">
        <v>147</v>
      </c>
      <c r="I56" s="69">
        <f>SUM(I54:I55)</f>
        <v>44</v>
      </c>
      <c r="J56" s="155" t="s">
        <v>142</v>
      </c>
      <c r="K56" s="154"/>
      <c r="L56" s="154"/>
      <c r="M56" s="307"/>
      <c r="N56" s="1"/>
      <c r="O56" s="1"/>
      <c r="P56" s="308">
        <f>SUM(P54:P55)</f>
        <v>773830</v>
      </c>
      <c r="Q56" s="308">
        <f>SUM(Q54:Q55)</f>
        <v>5677</v>
      </c>
      <c r="R56" s="308">
        <f>SUM(R54:R55)</f>
        <v>0</v>
      </c>
      <c r="S56" s="309">
        <f>SUM(S54:S55)</f>
        <v>1356</v>
      </c>
      <c r="T56" s="308">
        <f>SUM(T54:T55)</f>
        <v>766797</v>
      </c>
    </row>
    <row r="57" spans="1:20" ht="24">
      <c r="A57" s="119"/>
      <c r="B57" s="311"/>
      <c r="C57" s="311"/>
      <c r="D57" s="311"/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4">
      <c r="A58" s="119"/>
      <c r="B58" s="316"/>
      <c r="C58" s="317" t="s">
        <v>104</v>
      </c>
      <c r="D58" s="317"/>
      <c r="E58" s="317"/>
      <c r="F58" s="317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>
        <v>1</v>
      </c>
      <c r="C59" s="7" t="s">
        <v>191</v>
      </c>
      <c r="D59" s="345" t="s">
        <v>197</v>
      </c>
      <c r="E59" s="316" t="s">
        <v>209</v>
      </c>
      <c r="F59" s="356">
        <v>243074</v>
      </c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.75" thickBot="1">
      <c r="A60" s="120"/>
      <c r="B60" s="1"/>
      <c r="C60" s="326"/>
      <c r="D60" s="2"/>
      <c r="E60" s="1"/>
      <c r="F60" s="1"/>
      <c r="G60" s="1"/>
      <c r="H60" s="1"/>
      <c r="I60" s="1"/>
      <c r="J60" s="1"/>
      <c r="K60" s="1"/>
      <c r="L60" s="1"/>
      <c r="M60" s="94"/>
      <c r="N60" s="1"/>
      <c r="O60" s="1"/>
      <c r="P60" s="1"/>
      <c r="Q60" s="168"/>
      <c r="R60" s="1"/>
      <c r="S60" s="76"/>
      <c r="T60" s="1"/>
    </row>
    <row r="61" spans="1:20" ht="22.5" thickBot="1">
      <c r="A61" s="120"/>
      <c r="B61" s="429" t="s">
        <v>214</v>
      </c>
      <c r="C61" s="430"/>
      <c r="D61" s="430"/>
      <c r="E61" s="430"/>
      <c r="F61" s="430"/>
      <c r="G61" s="430"/>
      <c r="H61" s="430"/>
      <c r="I61" s="43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43.5">
      <c r="B62" s="42" t="s">
        <v>167</v>
      </c>
      <c r="C62" s="42" t="s">
        <v>158</v>
      </c>
      <c r="D62" s="346" t="s">
        <v>219</v>
      </c>
      <c r="E62" s="346" t="s">
        <v>220</v>
      </c>
      <c r="F62" s="346" t="s">
        <v>215</v>
      </c>
      <c r="G62" s="43" t="s">
        <v>150</v>
      </c>
      <c r="H62" s="346" t="s">
        <v>172</v>
      </c>
      <c r="I62" s="346" t="s">
        <v>216</v>
      </c>
    </row>
    <row r="63" spans="1:20" ht="21.75">
      <c r="B63" s="199" t="s">
        <v>178</v>
      </c>
      <c r="C63" s="197">
        <f>G7+G12+G14+G15+G16+G17+G18+G21+G22+G23+G24+G25+G26+G27+G28+G31+G32+G33+G34+G35+G36+G37+G38+G39+G40+G41+G42+G43+G45+G47+G48</f>
        <v>534830</v>
      </c>
      <c r="D63" s="197">
        <f>S7+S12+S14+S15+S16+S17+S18+S21+S22+S23+S24+S25+S26+S27+S28+S31+S32+S33+S34+S35+S36+S37+S38+S39+S40+S41+S42+S43+S45+S47+S48</f>
        <v>3797</v>
      </c>
      <c r="E63" s="197">
        <f>P7+P12+P14+P15+P16+P17+P18+P21+P22+P23+P24+P25+P26+P27+P28+P31+P32+P33+P34+P35+P36+P37+P38+P39+P40+P41+P42+P43+P45+P47+P48</f>
        <v>3797</v>
      </c>
      <c r="F63" s="197">
        <f>M27+M33+M34+M35+M36+M38+M40+M45</f>
        <v>0</v>
      </c>
      <c r="G63" s="197">
        <v>0</v>
      </c>
      <c r="H63" s="197">
        <f>D63+E63</f>
        <v>7594</v>
      </c>
      <c r="I63" s="197">
        <f>+C63+D63+F63-H63-G63</f>
        <v>531033</v>
      </c>
    </row>
    <row r="64" spans="1:20" ht="21.75">
      <c r="B64" s="191" t="s">
        <v>175</v>
      </c>
      <c r="C64" s="204">
        <f>G8+G9+G10+G11+G13+G19+G20+G29+G30+G44+G46+G49+G50</f>
        <v>239000</v>
      </c>
      <c r="D64" s="204">
        <f>S8+S9+S10+S11+S13+S19+S20+S29+S30+S44+S46+S49+S50</f>
        <v>1880</v>
      </c>
      <c r="E64" s="204">
        <f>P8+P9+P10+P11+P13+P19+P20+P29+P30+P44+P46+P49+P50</f>
        <v>1880</v>
      </c>
      <c r="F64" s="204"/>
      <c r="G64" s="204">
        <f>Q10+Q13</f>
        <v>1356</v>
      </c>
      <c r="H64" s="204">
        <f>D64+E64</f>
        <v>3760</v>
      </c>
      <c r="I64" s="204">
        <f>+C64+D64+F64-H64-G64</f>
        <v>235764</v>
      </c>
    </row>
    <row r="65" spans="2:9" ht="24">
      <c r="B65" s="195" t="s">
        <v>147</v>
      </c>
      <c r="C65" s="233">
        <f t="shared" ref="C65:I65" si="3">SUM(C63:C64)</f>
        <v>773830</v>
      </c>
      <c r="D65" s="233">
        <f t="shared" si="3"/>
        <v>5677</v>
      </c>
      <c r="E65" s="233">
        <f t="shared" si="3"/>
        <v>5677</v>
      </c>
      <c r="F65" s="233">
        <f t="shared" si="3"/>
        <v>0</v>
      </c>
      <c r="G65" s="233">
        <f t="shared" si="3"/>
        <v>1356</v>
      </c>
      <c r="H65" s="233">
        <f t="shared" si="3"/>
        <v>11354</v>
      </c>
      <c r="I65" s="233">
        <f t="shared" si="3"/>
        <v>766797</v>
      </c>
    </row>
  </sheetData>
  <mergeCells count="20">
    <mergeCell ref="K5:M5"/>
    <mergeCell ref="N5:Q5"/>
    <mergeCell ref="R5:R6"/>
    <mergeCell ref="S5:S6"/>
    <mergeCell ref="B61:I61"/>
    <mergeCell ref="A51:F51"/>
    <mergeCell ref="B56:C56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H5:H6"/>
    <mergeCell ref="I5:J5"/>
  </mergeCells>
  <pageMargins left="0.7" right="0.7" top="0.75" bottom="0.75" header="0.3" footer="0.3"/>
  <pageSetup paperSize="9" scale="52" fitToHeight="0" orientation="landscape" horizontalDpi="0" verticalDpi="0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CB40-CD54-4C1B-BBFE-81C766F44368}">
  <sheetPr>
    <pageSetUpPr fitToPage="1"/>
  </sheetPr>
  <dimension ref="A1:T65"/>
  <sheetViews>
    <sheetView topLeftCell="B55" workbookViewId="0">
      <selection activeCell="M52" sqref="M52"/>
    </sheetView>
  </sheetViews>
  <sheetFormatPr defaultRowHeight="15"/>
  <cols>
    <col min="1" max="1" width="4.42578125" customWidth="1"/>
    <col min="2" max="2" width="22.28515625" customWidth="1"/>
    <col min="3" max="3" width="19.42578125" customWidth="1"/>
    <col min="4" max="4" width="18.28515625" customWidth="1"/>
    <col min="5" max="5" width="15.7109375" customWidth="1"/>
    <col min="6" max="6" width="9.42578125" bestFit="1" customWidth="1"/>
    <col min="7" max="7" width="14.140625" bestFit="1" customWidth="1"/>
    <col min="8" max="8" width="15.5703125" customWidth="1"/>
    <col min="9" max="9" width="10.42578125" customWidth="1"/>
    <col min="16" max="16" width="11.7109375" bestFit="1" customWidth="1"/>
    <col min="17" max="17" width="11.42578125" customWidth="1"/>
    <col min="18" max="18" width="10.140625" customWidth="1"/>
    <col min="19" max="19" width="10" customWidth="1"/>
    <col min="20" max="20" width="10.14062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235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750</v>
      </c>
      <c r="Q7" s="98"/>
      <c r="R7" s="103">
        <f>SUM(G7+M7-P7-Q7)</f>
        <v>15250</v>
      </c>
      <c r="S7" s="116">
        <f>P7</f>
        <v>750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v>725</v>
      </c>
      <c r="Q8" s="98"/>
      <c r="R8" s="103">
        <f t="shared" ref="R8:R50" si="0">SUM(G8+M8-P8-Q8)</f>
        <v>13775</v>
      </c>
      <c r="S8" s="116">
        <f t="shared" ref="S8:S50" si="1">P8</f>
        <v>725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v>725</v>
      </c>
      <c r="Q9" s="98"/>
      <c r="R9" s="103">
        <f t="shared" si="0"/>
        <v>13775</v>
      </c>
      <c r="S9" s="116">
        <f t="shared" si="1"/>
        <v>725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707</v>
      </c>
      <c r="R10" s="103">
        <f t="shared" si="0"/>
        <v>16043</v>
      </c>
      <c r="S10" s="116">
        <f t="shared" si="1"/>
        <v>750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18250</v>
      </c>
      <c r="S11" s="116">
        <f t="shared" si="1"/>
        <v>750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20250</v>
      </c>
      <c r="S12" s="116">
        <f t="shared" si="1"/>
        <v>750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803</v>
      </c>
      <c r="R13" s="103">
        <f t="shared" si="0"/>
        <v>21447</v>
      </c>
      <c r="S13" s="116">
        <f t="shared" si="1"/>
        <v>750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/>
      <c r="R14" s="103">
        <f t="shared" si="0"/>
        <v>24250</v>
      </c>
      <c r="S14" s="116">
        <f t="shared" si="1"/>
        <v>750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20250</v>
      </c>
      <c r="S15" s="116">
        <f t="shared" si="1"/>
        <v>750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18250</v>
      </c>
      <c r="S16" s="116">
        <f t="shared" si="1"/>
        <v>750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24250</v>
      </c>
      <c r="S17" s="116">
        <f t="shared" si="1"/>
        <v>750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23050</v>
      </c>
      <c r="S18" s="116">
        <f t="shared" si="1"/>
        <v>750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24250</v>
      </c>
      <c r="S19" s="116">
        <f t="shared" si="1"/>
        <v>750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24250</v>
      </c>
      <c r="S20" s="116">
        <f t="shared" si="1"/>
        <v>750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f t="shared" si="1"/>
        <v>750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f t="shared" si="1"/>
        <v>750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f t="shared" si="1"/>
        <v>750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f t="shared" si="1"/>
        <v>750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f t="shared" si="1"/>
        <v>750</v>
      </c>
      <c r="T25" s="100"/>
    </row>
    <row r="26" spans="1:20" ht="21.75">
      <c r="A26" s="121">
        <v>20</v>
      </c>
      <c r="B26" s="122" t="s">
        <v>70</v>
      </c>
      <c r="C26" s="123" t="s">
        <v>71</v>
      </c>
      <c r="D26" s="137">
        <v>3220600129554</v>
      </c>
      <c r="E26" s="123" t="s">
        <v>72</v>
      </c>
      <c r="F26" s="124" t="s">
        <v>168</v>
      </c>
      <c r="G26" s="124">
        <f>+I26*J26</f>
        <v>11000</v>
      </c>
      <c r="H26" s="123"/>
      <c r="I26" s="123">
        <v>440</v>
      </c>
      <c r="J26" s="123">
        <v>25</v>
      </c>
      <c r="K26" s="123"/>
      <c r="L26" s="123"/>
      <c r="M26" s="124"/>
      <c r="N26" s="126"/>
      <c r="O26" s="124"/>
      <c r="P26" s="124">
        <v>550</v>
      </c>
      <c r="Q26" s="135"/>
      <c r="R26" s="124">
        <f t="shared" si="0"/>
        <v>10450</v>
      </c>
      <c r="S26" s="128">
        <f t="shared" si="1"/>
        <v>550</v>
      </c>
      <c r="T26" s="124"/>
    </row>
    <row r="27" spans="1:20" ht="21.75">
      <c r="A27" s="121">
        <v>21</v>
      </c>
      <c r="B27" s="122" t="s">
        <v>73</v>
      </c>
      <c r="C27" s="123" t="s">
        <v>74</v>
      </c>
      <c r="D27" s="137">
        <v>1330400154485</v>
      </c>
      <c r="E27" s="123" t="s">
        <v>72</v>
      </c>
      <c r="F27" s="124" t="s">
        <v>168</v>
      </c>
      <c r="G27" s="124">
        <f>+I27*J27</f>
        <v>9250</v>
      </c>
      <c r="H27" s="123"/>
      <c r="I27" s="123">
        <v>370</v>
      </c>
      <c r="J27" s="123">
        <v>25</v>
      </c>
      <c r="K27" s="123"/>
      <c r="L27" s="123"/>
      <c r="M27" s="124"/>
      <c r="N27" s="126"/>
      <c r="O27" s="124"/>
      <c r="P27" s="124">
        <v>463</v>
      </c>
      <c r="Q27" s="135"/>
      <c r="R27" s="124">
        <f t="shared" si="0"/>
        <v>8787</v>
      </c>
      <c r="S27" s="128">
        <f t="shared" si="1"/>
        <v>463</v>
      </c>
      <c r="T27" s="124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750</v>
      </c>
      <c r="Q28" s="98"/>
      <c r="R28" s="103">
        <f t="shared" si="0"/>
        <v>24250</v>
      </c>
      <c r="S28" s="116">
        <f t="shared" si="1"/>
        <v>750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16250</v>
      </c>
      <c r="S29" s="116">
        <f t="shared" si="1"/>
        <v>750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750</v>
      </c>
      <c r="Q30" s="98"/>
      <c r="R30" s="103">
        <f t="shared" si="0"/>
        <v>16250</v>
      </c>
      <c r="S30" s="116">
        <f t="shared" si="1"/>
        <v>750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750</v>
      </c>
      <c r="Q31" s="98"/>
      <c r="R31" s="103">
        <f t="shared" si="0"/>
        <v>24250</v>
      </c>
      <c r="S31" s="116">
        <f t="shared" si="1"/>
        <v>750</v>
      </c>
      <c r="T31" s="102"/>
    </row>
    <row r="32" spans="1:20" ht="21.75">
      <c r="A32" s="121">
        <v>26</v>
      </c>
      <c r="B32" s="122" t="s">
        <v>89</v>
      </c>
      <c r="C32" s="123" t="s">
        <v>90</v>
      </c>
      <c r="D32" s="123" t="s">
        <v>90</v>
      </c>
      <c r="E32" s="123" t="s">
        <v>72</v>
      </c>
      <c r="F32" s="124" t="s">
        <v>168</v>
      </c>
      <c r="G32" s="124">
        <f>+I32*J32</f>
        <v>10500</v>
      </c>
      <c r="H32" s="125" t="s">
        <v>88</v>
      </c>
      <c r="I32" s="123">
        <v>420</v>
      </c>
      <c r="J32" s="123">
        <v>25</v>
      </c>
      <c r="K32" s="123"/>
      <c r="L32" s="123"/>
      <c r="M32" s="124"/>
      <c r="N32" s="126"/>
      <c r="O32" s="124"/>
      <c r="P32" s="124">
        <v>525</v>
      </c>
      <c r="Q32" s="135"/>
      <c r="R32" s="124">
        <f t="shared" si="0"/>
        <v>9975</v>
      </c>
      <c r="S32" s="128">
        <f t="shared" si="1"/>
        <v>525</v>
      </c>
      <c r="T32" s="124"/>
    </row>
    <row r="33" spans="1:20" ht="21.75">
      <c r="A33" s="121">
        <v>27</v>
      </c>
      <c r="B33" s="122" t="s">
        <v>94</v>
      </c>
      <c r="C33" s="130">
        <v>6016200526744</v>
      </c>
      <c r="D33" s="137">
        <v>991016244128</v>
      </c>
      <c r="E33" s="123" t="s">
        <v>95</v>
      </c>
      <c r="F33" s="124" t="s">
        <v>168</v>
      </c>
      <c r="G33" s="124">
        <f>I33*J33</f>
        <v>8500</v>
      </c>
      <c r="H33" s="125" t="s">
        <v>96</v>
      </c>
      <c r="I33" s="123">
        <v>340</v>
      </c>
      <c r="J33" s="123">
        <v>25</v>
      </c>
      <c r="K33" s="123"/>
      <c r="L33" s="123"/>
      <c r="M33" s="124"/>
      <c r="N33" s="126"/>
      <c r="O33" s="124"/>
      <c r="P33" s="124">
        <v>425</v>
      </c>
      <c r="Q33" s="135"/>
      <c r="R33" s="124">
        <f t="shared" si="0"/>
        <v>8075</v>
      </c>
      <c r="S33" s="128">
        <f t="shared" si="1"/>
        <v>425</v>
      </c>
      <c r="T33" s="124"/>
    </row>
    <row r="34" spans="1:20" ht="21.75">
      <c r="A34" s="121">
        <v>28</v>
      </c>
      <c r="B34" s="122" t="s">
        <v>97</v>
      </c>
      <c r="C34" s="130">
        <v>6016200526680</v>
      </c>
      <c r="D34" s="137">
        <v>991016243920</v>
      </c>
      <c r="E34" s="123" t="s">
        <v>95</v>
      </c>
      <c r="F34" s="124" t="s">
        <v>168</v>
      </c>
      <c r="G34" s="124">
        <f t="shared" ref="G34:G38" si="2">I34*J34</f>
        <v>8500</v>
      </c>
      <c r="H34" s="125" t="s">
        <v>96</v>
      </c>
      <c r="I34" s="123">
        <v>340</v>
      </c>
      <c r="J34" s="123">
        <v>25</v>
      </c>
      <c r="K34" s="123"/>
      <c r="L34" s="123"/>
      <c r="M34" s="124"/>
      <c r="N34" s="126"/>
      <c r="O34" s="124"/>
      <c r="P34" s="124">
        <v>425</v>
      </c>
      <c r="Q34" s="135"/>
      <c r="R34" s="124">
        <f t="shared" si="0"/>
        <v>8075</v>
      </c>
      <c r="S34" s="128">
        <f t="shared" si="1"/>
        <v>425</v>
      </c>
      <c r="T34" s="124"/>
    </row>
    <row r="35" spans="1:20" ht="21.75">
      <c r="A35" s="121">
        <v>29</v>
      </c>
      <c r="B35" s="122" t="s">
        <v>98</v>
      </c>
      <c r="C35" s="130">
        <v>6016200526639</v>
      </c>
      <c r="D35" s="137">
        <v>991016243091</v>
      </c>
      <c r="E35" s="123" t="s">
        <v>95</v>
      </c>
      <c r="F35" s="124" t="s">
        <v>168</v>
      </c>
      <c r="G35" s="124">
        <f t="shared" si="2"/>
        <v>8500</v>
      </c>
      <c r="H35" s="125" t="s">
        <v>96</v>
      </c>
      <c r="I35" s="123">
        <v>340</v>
      </c>
      <c r="J35" s="123">
        <v>25</v>
      </c>
      <c r="K35" s="123"/>
      <c r="L35" s="123"/>
      <c r="M35" s="124"/>
      <c r="N35" s="126"/>
      <c r="O35" s="124"/>
      <c r="P35" s="124">
        <v>425</v>
      </c>
      <c r="Q35" s="135"/>
      <c r="R35" s="124">
        <f t="shared" si="0"/>
        <v>8075</v>
      </c>
      <c r="S35" s="128">
        <f t="shared" si="1"/>
        <v>425</v>
      </c>
      <c r="T35" s="124"/>
    </row>
    <row r="36" spans="1:20" ht="21.75">
      <c r="A36" s="121">
        <v>30</v>
      </c>
      <c r="B36" s="122" t="s">
        <v>99</v>
      </c>
      <c r="C36" s="130">
        <v>6016200526591</v>
      </c>
      <c r="D36" s="137">
        <v>991016242486</v>
      </c>
      <c r="E36" s="123" t="s">
        <v>95</v>
      </c>
      <c r="F36" s="124" t="s">
        <v>168</v>
      </c>
      <c r="G36" s="124">
        <f t="shared" si="2"/>
        <v>8500</v>
      </c>
      <c r="H36" s="125" t="s">
        <v>96</v>
      </c>
      <c r="I36" s="123">
        <v>340</v>
      </c>
      <c r="J36" s="123">
        <v>25</v>
      </c>
      <c r="K36" s="123"/>
      <c r="L36" s="123"/>
      <c r="M36" s="124"/>
      <c r="N36" s="126"/>
      <c r="O36" s="124"/>
      <c r="P36" s="124">
        <v>425</v>
      </c>
      <c r="Q36" s="135"/>
      <c r="R36" s="124">
        <f t="shared" si="0"/>
        <v>8075</v>
      </c>
      <c r="S36" s="128">
        <f t="shared" si="1"/>
        <v>425</v>
      </c>
      <c r="T36" s="124"/>
    </row>
    <row r="37" spans="1:20" ht="21.75">
      <c r="A37" s="121">
        <v>31</v>
      </c>
      <c r="B37" s="131" t="s">
        <v>108</v>
      </c>
      <c r="C37" s="132" t="s">
        <v>109</v>
      </c>
      <c r="D37" s="137">
        <v>1229900526551</v>
      </c>
      <c r="E37" s="132" t="s">
        <v>72</v>
      </c>
      <c r="F37" s="124" t="s">
        <v>168</v>
      </c>
      <c r="G37" s="124">
        <f t="shared" si="2"/>
        <v>11000</v>
      </c>
      <c r="H37" s="133" t="s">
        <v>107</v>
      </c>
      <c r="I37" s="132">
        <v>440</v>
      </c>
      <c r="J37" s="132">
        <v>25</v>
      </c>
      <c r="K37" s="132"/>
      <c r="L37" s="123"/>
      <c r="M37" s="135"/>
      <c r="N37" s="134"/>
      <c r="O37" s="135"/>
      <c r="P37" s="124">
        <v>550</v>
      </c>
      <c r="Q37" s="135"/>
      <c r="R37" s="124">
        <f t="shared" si="0"/>
        <v>10450</v>
      </c>
      <c r="S37" s="128">
        <f t="shared" si="1"/>
        <v>550</v>
      </c>
      <c r="T37" s="124"/>
    </row>
    <row r="38" spans="1:20" ht="21.75">
      <c r="A38" s="121">
        <v>32</v>
      </c>
      <c r="B38" s="131" t="s">
        <v>112</v>
      </c>
      <c r="C38" s="137">
        <v>6016300837709</v>
      </c>
      <c r="D38" s="137">
        <v>991019747724</v>
      </c>
      <c r="E38" s="132" t="s">
        <v>95</v>
      </c>
      <c r="F38" s="124" t="s">
        <v>168</v>
      </c>
      <c r="G38" s="124">
        <f t="shared" si="2"/>
        <v>8500</v>
      </c>
      <c r="H38" s="133" t="s">
        <v>111</v>
      </c>
      <c r="I38" s="132">
        <v>340</v>
      </c>
      <c r="J38" s="132">
        <v>25</v>
      </c>
      <c r="K38" s="132"/>
      <c r="L38" s="132"/>
      <c r="M38" s="135"/>
      <c r="N38" s="134"/>
      <c r="O38" s="135"/>
      <c r="P38" s="124">
        <v>425</v>
      </c>
      <c r="Q38" s="135"/>
      <c r="R38" s="124">
        <f t="shared" si="0"/>
        <v>8075</v>
      </c>
      <c r="S38" s="128">
        <f t="shared" si="1"/>
        <v>425</v>
      </c>
      <c r="T38" s="124"/>
    </row>
    <row r="39" spans="1:20" ht="21.75">
      <c r="A39" s="117">
        <v>33</v>
      </c>
      <c r="B39" s="106" t="s">
        <v>100</v>
      </c>
      <c r="C39" s="111">
        <v>1101500149087</v>
      </c>
      <c r="D39" s="97">
        <v>1101500149087</v>
      </c>
      <c r="E39" s="107" t="s">
        <v>44</v>
      </c>
      <c r="F39" s="198" t="s">
        <v>168</v>
      </c>
      <c r="G39" s="103">
        <v>25000</v>
      </c>
      <c r="H39" s="112" t="s">
        <v>101</v>
      </c>
      <c r="I39" s="107"/>
      <c r="J39" s="107"/>
      <c r="K39" s="107"/>
      <c r="L39" s="107"/>
      <c r="M39" s="103"/>
      <c r="N39" s="109"/>
      <c r="O39" s="103"/>
      <c r="P39" s="103">
        <v>750</v>
      </c>
      <c r="Q39" s="98"/>
      <c r="R39" s="103">
        <f t="shared" si="0"/>
        <v>24250</v>
      </c>
      <c r="S39" s="116">
        <f t="shared" si="1"/>
        <v>750</v>
      </c>
      <c r="T39" s="100"/>
    </row>
    <row r="40" spans="1:20" ht="21.75">
      <c r="A40" s="121">
        <v>34</v>
      </c>
      <c r="B40" s="122" t="s">
        <v>102</v>
      </c>
      <c r="C40" s="130">
        <v>6016201374921</v>
      </c>
      <c r="D40" s="137">
        <v>991017408884</v>
      </c>
      <c r="E40" s="123" t="s">
        <v>95</v>
      </c>
      <c r="F40" s="124" t="s">
        <v>168</v>
      </c>
      <c r="G40" s="124">
        <f>+I40*J40</f>
        <v>8500</v>
      </c>
      <c r="H40" s="138" t="s">
        <v>106</v>
      </c>
      <c r="I40" s="123">
        <v>340</v>
      </c>
      <c r="J40" s="123">
        <v>25</v>
      </c>
      <c r="K40" s="123"/>
      <c r="L40" s="123"/>
      <c r="M40" s="124"/>
      <c r="N40" s="126"/>
      <c r="O40" s="124"/>
      <c r="P40" s="124">
        <v>425</v>
      </c>
      <c r="Q40" s="135"/>
      <c r="R40" s="124">
        <f t="shared" si="0"/>
        <v>8075</v>
      </c>
      <c r="S40" s="128">
        <f t="shared" si="1"/>
        <v>425</v>
      </c>
      <c r="T40" s="124"/>
    </row>
    <row r="41" spans="1:20" ht="21.75">
      <c r="A41" s="117">
        <v>35</v>
      </c>
      <c r="B41" s="96" t="s">
        <v>118</v>
      </c>
      <c r="C41" s="97">
        <v>1229900643638</v>
      </c>
      <c r="D41" s="97">
        <v>1229900643638</v>
      </c>
      <c r="E41" s="95" t="s">
        <v>44</v>
      </c>
      <c r="F41" s="248" t="s">
        <v>168</v>
      </c>
      <c r="G41" s="98">
        <v>25000</v>
      </c>
      <c r="H41" s="99" t="s">
        <v>119</v>
      </c>
      <c r="I41" s="95"/>
      <c r="J41" s="95"/>
      <c r="K41" s="95"/>
      <c r="L41" s="107"/>
      <c r="M41" s="98"/>
      <c r="N41" s="115"/>
      <c r="O41" s="98"/>
      <c r="P41" s="103">
        <v>750</v>
      </c>
      <c r="Q41" s="98"/>
      <c r="R41" s="103">
        <f t="shared" si="0"/>
        <v>24250</v>
      </c>
      <c r="S41" s="116">
        <f t="shared" si="1"/>
        <v>750</v>
      </c>
      <c r="T41" s="100"/>
    </row>
    <row r="42" spans="1:20" ht="21.75">
      <c r="A42" s="117">
        <v>36</v>
      </c>
      <c r="B42" s="96" t="s">
        <v>120</v>
      </c>
      <c r="C42" s="97">
        <v>3402000037896</v>
      </c>
      <c r="D42" s="97">
        <v>3402000037896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750</v>
      </c>
      <c r="Q42" s="98"/>
      <c r="R42" s="103">
        <f t="shared" si="0"/>
        <v>24250</v>
      </c>
      <c r="S42" s="116">
        <f t="shared" si="1"/>
        <v>750</v>
      </c>
      <c r="T42" s="100"/>
    </row>
    <row r="43" spans="1:20" ht="21.75">
      <c r="A43" s="117">
        <v>37</v>
      </c>
      <c r="B43" s="96" t="s">
        <v>121</v>
      </c>
      <c r="C43" s="97">
        <v>3341600658671</v>
      </c>
      <c r="D43" s="97">
        <v>3341600658671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750</v>
      </c>
      <c r="Q43" s="98"/>
      <c r="R43" s="103">
        <f t="shared" si="0"/>
        <v>24250</v>
      </c>
      <c r="S43" s="116">
        <f t="shared" si="1"/>
        <v>750</v>
      </c>
      <c r="T43" s="100"/>
    </row>
    <row r="44" spans="1:20" ht="21.75">
      <c r="A44" s="117">
        <v>38</v>
      </c>
      <c r="B44" s="96" t="s">
        <v>122</v>
      </c>
      <c r="C44" s="97">
        <v>3930100204585</v>
      </c>
      <c r="D44" s="97">
        <v>3930100204585</v>
      </c>
      <c r="E44" s="95" t="s">
        <v>19</v>
      </c>
      <c r="F44" s="353" t="s">
        <v>169</v>
      </c>
      <c r="G44" s="98">
        <v>16500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750</v>
      </c>
      <c r="Q44" s="98"/>
      <c r="R44" s="103">
        <f t="shared" si="0"/>
        <v>15750</v>
      </c>
      <c r="S44" s="116">
        <f t="shared" si="1"/>
        <v>750</v>
      </c>
      <c r="T44" s="100"/>
    </row>
    <row r="45" spans="1:20" ht="21.75">
      <c r="A45" s="121">
        <v>39</v>
      </c>
      <c r="B45" s="141" t="s">
        <v>138</v>
      </c>
      <c r="C45" s="142">
        <v>1461000135963</v>
      </c>
      <c r="D45" s="137">
        <v>1461000135963</v>
      </c>
      <c r="E45" s="143" t="s">
        <v>95</v>
      </c>
      <c r="F45" s="128" t="s">
        <v>168</v>
      </c>
      <c r="G45" s="128">
        <f>I45*J45</f>
        <v>9000</v>
      </c>
      <c r="H45" s="144" t="s">
        <v>139</v>
      </c>
      <c r="I45" s="143">
        <v>360</v>
      </c>
      <c r="J45" s="143">
        <v>25</v>
      </c>
      <c r="K45" s="143"/>
      <c r="L45" s="123"/>
      <c r="M45" s="128"/>
      <c r="N45" s="145"/>
      <c r="O45" s="128"/>
      <c r="P45" s="124">
        <v>450</v>
      </c>
      <c r="Q45" s="128"/>
      <c r="R45" s="124">
        <f t="shared" si="0"/>
        <v>8550</v>
      </c>
      <c r="S45" s="128">
        <f t="shared" si="1"/>
        <v>450</v>
      </c>
      <c r="T45" s="124"/>
    </row>
    <row r="46" spans="1:20" ht="21.75">
      <c r="A46" s="117">
        <v>40</v>
      </c>
      <c r="B46" s="180" t="s">
        <v>163</v>
      </c>
      <c r="C46" s="181">
        <v>6016100144033</v>
      </c>
      <c r="D46" s="97">
        <v>239989001934</v>
      </c>
      <c r="E46" s="182" t="s">
        <v>32</v>
      </c>
      <c r="F46" s="352" t="s">
        <v>169</v>
      </c>
      <c r="G46" s="116">
        <v>26000</v>
      </c>
      <c r="H46" s="99" t="s">
        <v>164</v>
      </c>
      <c r="I46" s="95"/>
      <c r="J46" s="95"/>
      <c r="K46" s="183"/>
      <c r="L46" s="107"/>
      <c r="M46" s="185"/>
      <c r="N46" s="115"/>
      <c r="O46" s="185"/>
      <c r="P46" s="103">
        <v>750</v>
      </c>
      <c r="Q46" s="116"/>
      <c r="R46" s="103">
        <f t="shared" si="0"/>
        <v>25250</v>
      </c>
      <c r="S46" s="116">
        <f t="shared" si="1"/>
        <v>750</v>
      </c>
      <c r="T46" s="100"/>
    </row>
    <row r="47" spans="1:20" ht="21.75">
      <c r="A47" s="121">
        <v>41</v>
      </c>
      <c r="B47" s="141" t="s">
        <v>192</v>
      </c>
      <c r="C47" s="137">
        <v>1499900366870</v>
      </c>
      <c r="D47" s="142">
        <v>1499900366870</v>
      </c>
      <c r="E47" s="143" t="s">
        <v>72</v>
      </c>
      <c r="F47" s="128" t="s">
        <v>168</v>
      </c>
      <c r="G47" s="128">
        <f>I47*J47</f>
        <v>7875</v>
      </c>
      <c r="H47" s="144" t="s">
        <v>194</v>
      </c>
      <c r="I47" s="143">
        <v>350</v>
      </c>
      <c r="J47" s="143">
        <v>22.5</v>
      </c>
      <c r="K47" s="143"/>
      <c r="L47" s="123"/>
      <c r="M47" s="128"/>
      <c r="N47" s="145"/>
      <c r="O47" s="128"/>
      <c r="P47" s="124">
        <v>394</v>
      </c>
      <c r="Q47" s="128"/>
      <c r="R47" s="124">
        <f t="shared" si="0"/>
        <v>7481</v>
      </c>
      <c r="S47" s="128">
        <f t="shared" si="1"/>
        <v>394</v>
      </c>
      <c r="T47" s="124"/>
    </row>
    <row r="48" spans="1:20" ht="21.75">
      <c r="A48" s="117">
        <v>42</v>
      </c>
      <c r="B48" s="180" t="s">
        <v>226</v>
      </c>
      <c r="C48" s="97" t="s">
        <v>227</v>
      </c>
      <c r="D48" s="97" t="s">
        <v>227</v>
      </c>
      <c r="E48" s="182" t="s">
        <v>32</v>
      </c>
      <c r="F48" s="357" t="s">
        <v>169</v>
      </c>
      <c r="G48" s="116">
        <v>12000</v>
      </c>
      <c r="H48" s="347" t="s">
        <v>229</v>
      </c>
      <c r="I48" s="182"/>
      <c r="J48" s="182"/>
      <c r="K48" s="182"/>
      <c r="L48" s="107"/>
      <c r="M48" s="116"/>
      <c r="N48" s="348"/>
      <c r="O48" s="116"/>
      <c r="P48" s="103">
        <v>600</v>
      </c>
      <c r="Q48" s="116"/>
      <c r="R48" s="103">
        <f t="shared" si="0"/>
        <v>11400</v>
      </c>
      <c r="S48" s="116">
        <f t="shared" si="1"/>
        <v>600</v>
      </c>
      <c r="T48" s="103"/>
    </row>
    <row r="49" spans="1:20" ht="21.75">
      <c r="A49" s="117">
        <v>43</v>
      </c>
      <c r="B49" s="180" t="s">
        <v>225</v>
      </c>
      <c r="C49" s="107" t="s">
        <v>228</v>
      </c>
      <c r="D49" s="107" t="s">
        <v>228</v>
      </c>
      <c r="E49" s="182" t="s">
        <v>32</v>
      </c>
      <c r="F49" s="357" t="s">
        <v>169</v>
      </c>
      <c r="G49" s="116">
        <v>12000</v>
      </c>
      <c r="H49" s="347" t="s">
        <v>230</v>
      </c>
      <c r="I49" s="182"/>
      <c r="J49" s="182"/>
      <c r="K49" s="182"/>
      <c r="L49" s="107"/>
      <c r="M49" s="116"/>
      <c r="N49" s="348"/>
      <c r="O49" s="116"/>
      <c r="P49" s="103">
        <v>600</v>
      </c>
      <c r="Q49" s="116"/>
      <c r="R49" s="103">
        <f t="shared" si="0"/>
        <v>11400</v>
      </c>
      <c r="S49" s="116">
        <f t="shared" si="1"/>
        <v>600</v>
      </c>
      <c r="T49" s="103"/>
    </row>
    <row r="50" spans="1:20" ht="21.75">
      <c r="A50" s="117">
        <v>44</v>
      </c>
      <c r="B50" s="180" t="s">
        <v>236</v>
      </c>
      <c r="C50" s="107" t="s">
        <v>238</v>
      </c>
      <c r="D50" s="107" t="s">
        <v>238</v>
      </c>
      <c r="E50" s="182" t="s">
        <v>44</v>
      </c>
      <c r="F50" s="128" t="s">
        <v>168</v>
      </c>
      <c r="G50" s="116">
        <v>25000</v>
      </c>
      <c r="H50" s="347" t="s">
        <v>237</v>
      </c>
      <c r="I50" s="182"/>
      <c r="J50" s="182"/>
      <c r="K50" s="182"/>
      <c r="L50" s="358"/>
      <c r="M50" s="116"/>
      <c r="N50" s="184"/>
      <c r="O50" s="116"/>
      <c r="P50" s="359">
        <v>750</v>
      </c>
      <c r="Q50" s="116"/>
      <c r="R50" s="359">
        <f t="shared" si="0"/>
        <v>24250</v>
      </c>
      <c r="S50" s="116">
        <f t="shared" si="1"/>
        <v>750</v>
      </c>
      <c r="T50" s="359" t="s">
        <v>137</v>
      </c>
    </row>
    <row r="51" spans="1:20" ht="22.5" thickBot="1">
      <c r="A51" s="402" t="s">
        <v>103</v>
      </c>
      <c r="B51" s="402"/>
      <c r="C51" s="402"/>
      <c r="D51" s="402"/>
      <c r="E51" s="402"/>
      <c r="F51" s="402"/>
      <c r="G51" s="89">
        <f>SUM(G7:G50)</f>
        <v>799425</v>
      </c>
      <c r="H51" s="75"/>
      <c r="I51" s="75"/>
      <c r="J51" s="75"/>
      <c r="K51" s="89">
        <f>SUM(K7:K49)</f>
        <v>0</v>
      </c>
      <c r="L51" s="89">
        <f>SUM(L7:L49)</f>
        <v>0</v>
      </c>
      <c r="M51" s="89">
        <f>SUM(M7:M49)</f>
        <v>0</v>
      </c>
      <c r="N51" s="87"/>
      <c r="O51" s="87"/>
      <c r="P51" s="89">
        <f>SUM(P7:P50)</f>
        <v>29132</v>
      </c>
      <c r="Q51" s="89">
        <f>SUM(Q7:Q49)</f>
        <v>1510</v>
      </c>
      <c r="R51" s="89">
        <f>SUM(R7:R50)</f>
        <v>768783</v>
      </c>
      <c r="S51" s="89">
        <f>SUM(S7:S50)</f>
        <v>29132</v>
      </c>
      <c r="T51" s="310"/>
    </row>
    <row r="52" spans="1:20" ht="23.25" thickTop="1" thickBot="1">
      <c r="A52" s="119"/>
      <c r="B52" s="3"/>
      <c r="C52" s="3"/>
      <c r="D52" s="49"/>
      <c r="E52" s="3"/>
      <c r="F52" s="3"/>
      <c r="G52" s="39"/>
      <c r="H52" s="39"/>
      <c r="I52" s="39"/>
      <c r="J52" s="39"/>
      <c r="K52" s="39"/>
      <c r="L52" s="39"/>
      <c r="M52" s="39"/>
      <c r="N52" s="331"/>
      <c r="O52" s="331"/>
      <c r="P52" s="39"/>
      <c r="Q52" s="166"/>
      <c r="R52" s="39"/>
      <c r="S52" s="76"/>
      <c r="T52" s="5"/>
    </row>
    <row r="53" spans="1:20" ht="66" thickBot="1">
      <c r="A53" s="119"/>
      <c r="B53" s="50" t="s">
        <v>12</v>
      </c>
      <c r="C53" s="3"/>
      <c r="D53" s="49"/>
      <c r="E53" s="3"/>
      <c r="F53" s="3"/>
      <c r="G53" s="39"/>
      <c r="H53" s="156" t="s">
        <v>145</v>
      </c>
      <c r="I53" s="39"/>
      <c r="J53" s="39"/>
      <c r="K53" s="39"/>
      <c r="L53" s="1"/>
      <c r="M53" s="94"/>
      <c r="N53" s="1"/>
      <c r="O53" s="1"/>
      <c r="P53" s="303" t="s">
        <v>158</v>
      </c>
      <c r="Q53" s="153" t="s">
        <v>159</v>
      </c>
      <c r="R53" s="153" t="s">
        <v>190</v>
      </c>
      <c r="S53" s="164" t="s">
        <v>150</v>
      </c>
      <c r="T53" s="153" t="s">
        <v>11</v>
      </c>
    </row>
    <row r="54" spans="1:20" ht="43.5">
      <c r="A54" s="119"/>
      <c r="B54" s="52" t="s">
        <v>156</v>
      </c>
      <c r="C54" s="149"/>
      <c r="D54" s="149"/>
      <c r="E54" s="54" t="s">
        <v>142</v>
      </c>
      <c r="F54" s="54"/>
      <c r="G54" s="55" t="s">
        <v>140</v>
      </c>
      <c r="H54" s="170" t="s">
        <v>141</v>
      </c>
      <c r="I54" s="170">
        <v>12</v>
      </c>
      <c r="J54" s="171" t="s">
        <v>142</v>
      </c>
      <c r="K54" s="148"/>
      <c r="L54" s="1"/>
      <c r="M54" s="94"/>
      <c r="N54" s="1"/>
      <c r="O54" s="1"/>
      <c r="P54" s="16">
        <f>+G26+G27+G32+G33+G34+G35+G36+G37+G38+G40+G45+G47</f>
        <v>109625</v>
      </c>
      <c r="Q54" s="16">
        <f>+P26+P27+P32+P33+P34+P35+P36+P37+P38+P40+P45+P47</f>
        <v>5482</v>
      </c>
      <c r="R54" s="16">
        <f>+M26+M27+M32+M33+M34+M35+M36+M38+M40+M45+M49</f>
        <v>0</v>
      </c>
      <c r="S54" s="24">
        <v>0</v>
      </c>
      <c r="T54" s="349">
        <f>+R26+R27+R32+R33+R34+R35+R36+R37+R38+R40+R45+R47</f>
        <v>104143</v>
      </c>
    </row>
    <row r="55" spans="1:20" ht="21.75">
      <c r="A55" s="119"/>
      <c r="B55" s="56" t="s">
        <v>137</v>
      </c>
      <c r="C55" s="150"/>
      <c r="D55" s="118">
        <v>1</v>
      </c>
      <c r="E55" s="6" t="s">
        <v>142</v>
      </c>
      <c r="F55" s="6"/>
      <c r="G55" s="190" t="s">
        <v>162</v>
      </c>
      <c r="H55" s="173" t="s">
        <v>144</v>
      </c>
      <c r="I55" s="173">
        <v>32</v>
      </c>
      <c r="J55" s="174" t="s">
        <v>142</v>
      </c>
      <c r="K55" s="148"/>
      <c r="L55" s="1"/>
      <c r="M55" s="94"/>
      <c r="N55" s="1"/>
      <c r="O55" s="1"/>
      <c r="P55" s="16">
        <f>G7+G8+G9+G10+G11+G12+G13+G14+G15+G16+G17+G18+G19+G20+G21+G22+G23+G24+G25+G28+G29+G30+G31+G39+G41+G42+G43+G44+G46+G48+G49+G50</f>
        <v>689800</v>
      </c>
      <c r="Q55" s="16">
        <f>+P7+P8+P9+P10+P11+P12+P13+P14+P15+P16+P17+P18+P19+P20+P21+P22+P23+P24+P25+P28+P29+P30+P31+P39+P41+P42+P43+P44+P46+P48+P49+P50</f>
        <v>23650</v>
      </c>
      <c r="R55" s="16">
        <f>+M7+M8+M9+M10+M11+M12+M13+M14+M15+M16+M17+M18+M19+M20+M21+M22+M23+M24+M25+M28+M29+M30+M31+M39+M41+M42+M43+M44+M46</f>
        <v>0</v>
      </c>
      <c r="S55" s="24">
        <f>+Q10+Q13</f>
        <v>1510</v>
      </c>
      <c r="T55" s="16">
        <f>+R7+R8+R9+R10+R11+R12+R13+R14+R15+R16+R17+R18+R19+R20+R21+R22+R23+R24+R25+R28+R29+R30+R31+R39+R41+R42+R43+R44+R46+R48+R49+R50</f>
        <v>664640</v>
      </c>
    </row>
    <row r="56" spans="1:20" ht="24.75" thickBot="1">
      <c r="A56" s="119"/>
      <c r="B56" s="419"/>
      <c r="C56" s="420"/>
      <c r="D56" s="300"/>
      <c r="E56" s="187"/>
      <c r="F56" s="187"/>
      <c r="G56" s="188"/>
      <c r="H56" s="189" t="s">
        <v>147</v>
      </c>
      <c r="I56" s="69">
        <f>SUM(I54:I55)</f>
        <v>44</v>
      </c>
      <c r="J56" s="155" t="s">
        <v>142</v>
      </c>
      <c r="K56" s="154"/>
      <c r="L56" s="154"/>
      <c r="M56" s="307"/>
      <c r="N56" s="1"/>
      <c r="O56" s="1"/>
      <c r="P56" s="308">
        <f>SUM(P54:P55)</f>
        <v>799425</v>
      </c>
      <c r="Q56" s="308">
        <f>SUM(Q54:Q55)</f>
        <v>29132</v>
      </c>
      <c r="R56" s="308">
        <f>SUM(R54:R55)</f>
        <v>0</v>
      </c>
      <c r="S56" s="309">
        <f>SUM(S54:S55)</f>
        <v>1510</v>
      </c>
      <c r="T56" s="308">
        <f>SUM(T54:T55)</f>
        <v>768783</v>
      </c>
    </row>
    <row r="57" spans="1:20" ht="24">
      <c r="A57" s="119"/>
      <c r="B57" s="311"/>
      <c r="C57" s="311"/>
      <c r="D57" s="311"/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4">
      <c r="A58" s="119"/>
      <c r="B58" s="316"/>
      <c r="C58" s="317" t="s">
        <v>137</v>
      </c>
      <c r="D58" s="317"/>
      <c r="E58" s="317"/>
      <c r="F58" s="317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>
        <v>1</v>
      </c>
      <c r="C59" s="7" t="s">
        <v>236</v>
      </c>
      <c r="D59" s="345" t="s">
        <v>238</v>
      </c>
      <c r="E59" s="316" t="s">
        <v>198</v>
      </c>
      <c r="F59" s="356">
        <v>243101</v>
      </c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.75" thickBot="1">
      <c r="A60" s="120"/>
      <c r="B60" s="1"/>
      <c r="C60" s="326"/>
      <c r="D60" s="2"/>
      <c r="E60" s="1"/>
      <c r="F60" s="1"/>
      <c r="G60" s="1"/>
      <c r="H60" s="1"/>
      <c r="I60" s="1"/>
      <c r="J60" s="1"/>
      <c r="K60" s="1"/>
      <c r="L60" s="1"/>
      <c r="M60" s="94"/>
      <c r="N60" s="1"/>
      <c r="O60" s="1"/>
      <c r="P60" s="1"/>
      <c r="Q60" s="168"/>
      <c r="R60" s="1"/>
      <c r="S60" s="76"/>
      <c r="T60" s="1"/>
    </row>
    <row r="61" spans="1:20" ht="22.5" thickBot="1">
      <c r="A61" s="120"/>
      <c r="B61" s="429" t="s">
        <v>214</v>
      </c>
      <c r="C61" s="430"/>
      <c r="D61" s="430"/>
      <c r="E61" s="430"/>
      <c r="F61" s="430"/>
      <c r="G61" s="430"/>
      <c r="H61" s="430"/>
      <c r="I61" s="43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43.5">
      <c r="B62" s="42" t="s">
        <v>167</v>
      </c>
      <c r="C62" s="42" t="s">
        <v>158</v>
      </c>
      <c r="D62" s="346" t="s">
        <v>176</v>
      </c>
      <c r="E62" s="346" t="s">
        <v>177</v>
      </c>
      <c r="F62" s="346" t="s">
        <v>215</v>
      </c>
      <c r="G62" s="43" t="s">
        <v>150</v>
      </c>
      <c r="H62" s="346" t="s">
        <v>172</v>
      </c>
      <c r="I62" s="346" t="s">
        <v>216</v>
      </c>
    </row>
    <row r="63" spans="1:20" ht="21.75">
      <c r="B63" s="199" t="s">
        <v>178</v>
      </c>
      <c r="C63" s="197">
        <f>G7+G12+G14+G15+G16+G17+G18+G21+G22+G23+G24+G25+G26+G27+G28+G31+G32+G33+G34+G35+G36+G37+G38+G39+G40+G41+G42+G43+G45+G47+G50</f>
        <v>560425</v>
      </c>
      <c r="D63" s="197">
        <f>S7+S12+S14+S15+S16+S17+S18+S21+S22+S23+S24+S25+S26+S27+S28+S31+S32+S33+S34+S35+S36+S37+S38+S39+S40+S41+S42+S43+S45+S47+S50</f>
        <v>19732</v>
      </c>
      <c r="E63" s="197">
        <f>P7+P12+P14+P15+P16+P17+P18+P21+P22+P23+P24+P25+P26+P27+P28+P31+P32+P33+P34+P35+P36+P37+P38+P39+P40+P41+P42+P43+P45+P47+P50</f>
        <v>19732</v>
      </c>
      <c r="F63" s="197">
        <f>M27+M33+M34+M35+M36+M38+M40+M45</f>
        <v>0</v>
      </c>
      <c r="G63" s="197">
        <v>0</v>
      </c>
      <c r="H63" s="197">
        <f>D63+E63</f>
        <v>39464</v>
      </c>
      <c r="I63" s="197">
        <f>+C63+D63+F63-H63-G63</f>
        <v>540693</v>
      </c>
    </row>
    <row r="64" spans="1:20" ht="21.75">
      <c r="B64" s="191" t="s">
        <v>175</v>
      </c>
      <c r="C64" s="204">
        <f>G8+G9+G10+G11+G13+G19+G20+G29+G30+G44+G46+G48+G49</f>
        <v>239000</v>
      </c>
      <c r="D64" s="204">
        <f>S8+S9+S10+S11+S13+S19+S20+S29+S30+S44+S46+S48+S49</f>
        <v>9400</v>
      </c>
      <c r="E64" s="204">
        <f>P8+P9+P10+P11+P13+P19+P20+P29+P30+P44+P46+P48+P49</f>
        <v>9400</v>
      </c>
      <c r="F64" s="204"/>
      <c r="G64" s="204">
        <f>Q10+Q13</f>
        <v>1510</v>
      </c>
      <c r="H64" s="204">
        <f>D64+E64</f>
        <v>18800</v>
      </c>
      <c r="I64" s="204">
        <f>+C64+D64+F64-H64-G64</f>
        <v>228090</v>
      </c>
    </row>
    <row r="65" spans="2:9" ht="24">
      <c r="B65" s="195" t="s">
        <v>147</v>
      </c>
      <c r="C65" s="233">
        <f t="shared" ref="C65:I65" si="3">SUM(C63:C64)</f>
        <v>799425</v>
      </c>
      <c r="D65" s="233">
        <f t="shared" si="3"/>
        <v>29132</v>
      </c>
      <c r="E65" s="233">
        <f t="shared" si="3"/>
        <v>29132</v>
      </c>
      <c r="F65" s="233">
        <f t="shared" si="3"/>
        <v>0</v>
      </c>
      <c r="G65" s="233">
        <f t="shared" si="3"/>
        <v>1510</v>
      </c>
      <c r="H65" s="233">
        <f t="shared" si="3"/>
        <v>58264</v>
      </c>
      <c r="I65" s="233">
        <f t="shared" si="3"/>
        <v>768783</v>
      </c>
    </row>
  </sheetData>
  <mergeCells count="20">
    <mergeCell ref="A51:F51"/>
    <mergeCell ref="B56:C56"/>
    <mergeCell ref="B61:I61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7" right="0.7" top="0.75" bottom="0.75" header="0.3" footer="0.3"/>
  <pageSetup paperSize="9" scale="52" fitToHeight="0" orientation="landscape" horizontalDpi="0" verticalDpi="0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96A41-A642-489C-9C31-84736E658B98}">
  <sheetPr>
    <pageSetUpPr fitToPage="1"/>
  </sheetPr>
  <dimension ref="A1:T65"/>
  <sheetViews>
    <sheetView topLeftCell="A16" workbookViewId="0">
      <selection activeCell="H47" sqref="H47"/>
    </sheetView>
  </sheetViews>
  <sheetFormatPr defaultRowHeight="15"/>
  <cols>
    <col min="1" max="1" width="4.42578125" customWidth="1"/>
    <col min="2" max="2" width="22.28515625" customWidth="1"/>
    <col min="3" max="3" width="19.42578125" customWidth="1"/>
    <col min="4" max="4" width="18.28515625" customWidth="1"/>
    <col min="5" max="5" width="15.7109375" customWidth="1"/>
    <col min="6" max="6" width="9.42578125" bestFit="1" customWidth="1"/>
    <col min="7" max="7" width="14.140625" bestFit="1" customWidth="1"/>
    <col min="8" max="8" width="17" customWidth="1"/>
    <col min="9" max="9" width="11.140625" bestFit="1" customWidth="1"/>
    <col min="16" max="16" width="11.7109375" bestFit="1" customWidth="1"/>
    <col min="17" max="17" width="13.42578125" customWidth="1"/>
    <col min="18" max="18" width="11.85546875" bestFit="1" customWidth="1"/>
    <col min="19" max="19" width="14" bestFit="1" customWidth="1"/>
    <col min="20" max="20" width="11.28515625" bestFit="1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239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154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153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103">
        <v>750</v>
      </c>
      <c r="Q7" s="98"/>
      <c r="R7" s="103">
        <f>SUM(G7+M7-P7-Q7)</f>
        <v>15250</v>
      </c>
      <c r="S7" s="116">
        <f>P7</f>
        <v>750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103">
        <v>725</v>
      </c>
      <c r="Q8" s="98"/>
      <c r="R8" s="103">
        <f t="shared" ref="R8:R50" si="0">SUM(G8+M8-P8-Q8)</f>
        <v>13775</v>
      </c>
      <c r="S8" s="116">
        <f t="shared" ref="S8:S50" si="1">P8</f>
        <v>725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103">
        <v>725</v>
      </c>
      <c r="Q9" s="98"/>
      <c r="R9" s="103">
        <f t="shared" si="0"/>
        <v>13775</v>
      </c>
      <c r="S9" s="116">
        <f t="shared" si="1"/>
        <v>725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103">
        <v>750</v>
      </c>
      <c r="Q10" s="98">
        <v>707</v>
      </c>
      <c r="R10" s="103">
        <f t="shared" si="0"/>
        <v>16043</v>
      </c>
      <c r="S10" s="116">
        <f t="shared" si="1"/>
        <v>750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103">
        <v>750</v>
      </c>
      <c r="Q11" s="98"/>
      <c r="R11" s="103">
        <f t="shared" si="0"/>
        <v>18250</v>
      </c>
      <c r="S11" s="116">
        <f t="shared" si="1"/>
        <v>750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103">
        <v>750</v>
      </c>
      <c r="Q12" s="98"/>
      <c r="R12" s="103">
        <f t="shared" si="0"/>
        <v>20250</v>
      </c>
      <c r="S12" s="116">
        <f t="shared" si="1"/>
        <v>750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103">
        <v>750</v>
      </c>
      <c r="Q13" s="98">
        <v>803</v>
      </c>
      <c r="R13" s="103">
        <f t="shared" si="0"/>
        <v>21447</v>
      </c>
      <c r="S13" s="116">
        <f t="shared" si="1"/>
        <v>750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103">
        <v>750</v>
      </c>
      <c r="Q14" s="98"/>
      <c r="R14" s="103">
        <f t="shared" si="0"/>
        <v>24250</v>
      </c>
      <c r="S14" s="116">
        <f t="shared" si="1"/>
        <v>750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103">
        <v>750</v>
      </c>
      <c r="Q15" s="98"/>
      <c r="R15" s="103">
        <f t="shared" si="0"/>
        <v>20250</v>
      </c>
      <c r="S15" s="116">
        <f t="shared" si="1"/>
        <v>750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103">
        <v>750</v>
      </c>
      <c r="Q16" s="98"/>
      <c r="R16" s="103">
        <f t="shared" si="0"/>
        <v>18250</v>
      </c>
      <c r="S16" s="116">
        <f t="shared" si="1"/>
        <v>750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103">
        <v>750</v>
      </c>
      <c r="Q17" s="98"/>
      <c r="R17" s="103">
        <f t="shared" si="0"/>
        <v>24250</v>
      </c>
      <c r="S17" s="116">
        <f t="shared" si="1"/>
        <v>750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103">
        <v>750</v>
      </c>
      <c r="Q18" s="98"/>
      <c r="R18" s="103">
        <f t="shared" si="0"/>
        <v>23050</v>
      </c>
      <c r="S18" s="116">
        <f t="shared" si="1"/>
        <v>750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103">
        <v>750</v>
      </c>
      <c r="Q19" s="98"/>
      <c r="R19" s="103">
        <f t="shared" si="0"/>
        <v>24250</v>
      </c>
      <c r="S19" s="116">
        <f t="shared" si="1"/>
        <v>750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103">
        <v>750</v>
      </c>
      <c r="Q20" s="98"/>
      <c r="R20" s="103">
        <f t="shared" si="0"/>
        <v>24250</v>
      </c>
      <c r="S20" s="116">
        <f t="shared" si="1"/>
        <v>750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103">
        <v>750</v>
      </c>
      <c r="Q21" s="98"/>
      <c r="R21" s="103">
        <f t="shared" si="0"/>
        <v>24250</v>
      </c>
      <c r="S21" s="116">
        <f t="shared" si="1"/>
        <v>750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103">
        <v>750</v>
      </c>
      <c r="Q22" s="98"/>
      <c r="R22" s="103">
        <f t="shared" si="0"/>
        <v>24250</v>
      </c>
      <c r="S22" s="116">
        <f t="shared" si="1"/>
        <v>750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103">
        <v>750</v>
      </c>
      <c r="Q23" s="98"/>
      <c r="R23" s="103">
        <f t="shared" si="0"/>
        <v>24250</v>
      </c>
      <c r="S23" s="116">
        <f t="shared" si="1"/>
        <v>750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103">
        <v>750</v>
      </c>
      <c r="Q24" s="98"/>
      <c r="R24" s="103">
        <f t="shared" si="0"/>
        <v>24250</v>
      </c>
      <c r="S24" s="116">
        <f t="shared" si="1"/>
        <v>750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103">
        <v>750</v>
      </c>
      <c r="Q25" s="98"/>
      <c r="R25" s="103">
        <f t="shared" si="0"/>
        <v>24250</v>
      </c>
      <c r="S25" s="116">
        <f t="shared" si="1"/>
        <v>750</v>
      </c>
      <c r="T25" s="100"/>
    </row>
    <row r="26" spans="1:20" s="360" customFormat="1" ht="21.75">
      <c r="A26" s="158">
        <v>20</v>
      </c>
      <c r="B26" s="159" t="s">
        <v>70</v>
      </c>
      <c r="C26" s="139" t="s">
        <v>71</v>
      </c>
      <c r="D26" s="160">
        <v>3220600129554</v>
      </c>
      <c r="E26" s="139" t="s">
        <v>72</v>
      </c>
      <c r="F26" s="127" t="s">
        <v>168</v>
      </c>
      <c r="G26" s="127">
        <f>+I26*J26</f>
        <v>11000</v>
      </c>
      <c r="H26" s="139"/>
      <c r="I26" s="139">
        <v>440</v>
      </c>
      <c r="J26" s="139">
        <v>25</v>
      </c>
      <c r="K26" s="139"/>
      <c r="L26" s="139"/>
      <c r="M26" s="127"/>
      <c r="N26" s="162"/>
      <c r="O26" s="127"/>
      <c r="P26" s="127">
        <f>ROUND(G26*5%,0)</f>
        <v>550</v>
      </c>
      <c r="Q26" s="127"/>
      <c r="R26" s="127">
        <f t="shared" si="0"/>
        <v>10450</v>
      </c>
      <c r="S26" s="157">
        <f t="shared" si="1"/>
        <v>550</v>
      </c>
      <c r="T26" s="127"/>
    </row>
    <row r="27" spans="1:20" s="360" customFormat="1" ht="21.75">
      <c r="A27" s="158">
        <v>21</v>
      </c>
      <c r="B27" s="159" t="s">
        <v>73</v>
      </c>
      <c r="C27" s="139" t="s">
        <v>74</v>
      </c>
      <c r="D27" s="160">
        <v>1330400154485</v>
      </c>
      <c r="E27" s="139" t="s">
        <v>72</v>
      </c>
      <c r="F27" s="127" t="s">
        <v>168</v>
      </c>
      <c r="G27" s="127">
        <f>+I27*J27</f>
        <v>8880</v>
      </c>
      <c r="H27" s="139"/>
      <c r="I27" s="139">
        <v>370</v>
      </c>
      <c r="J27" s="139">
        <v>24</v>
      </c>
      <c r="K27" s="139"/>
      <c r="L27" s="139"/>
      <c r="M27" s="127"/>
      <c r="N27" s="162"/>
      <c r="O27" s="127"/>
      <c r="P27" s="127">
        <f>ROUND(G27*5%,0)</f>
        <v>444</v>
      </c>
      <c r="Q27" s="127"/>
      <c r="R27" s="127">
        <f t="shared" si="0"/>
        <v>8436</v>
      </c>
      <c r="S27" s="157">
        <f t="shared" si="1"/>
        <v>444</v>
      </c>
      <c r="T27" s="127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750</v>
      </c>
      <c r="Q28" s="98"/>
      <c r="R28" s="103">
        <f t="shared" si="0"/>
        <v>24250</v>
      </c>
      <c r="S28" s="116">
        <f t="shared" si="1"/>
        <v>750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750</v>
      </c>
      <c r="Q29" s="98"/>
      <c r="R29" s="103">
        <f t="shared" si="0"/>
        <v>16250</v>
      </c>
      <c r="S29" s="116">
        <f t="shared" si="1"/>
        <v>750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750</v>
      </c>
      <c r="Q30" s="98"/>
      <c r="R30" s="103">
        <f t="shared" si="0"/>
        <v>16250</v>
      </c>
      <c r="S30" s="116">
        <f t="shared" si="1"/>
        <v>750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750</v>
      </c>
      <c r="Q31" s="98"/>
      <c r="R31" s="103">
        <f t="shared" si="0"/>
        <v>24250</v>
      </c>
      <c r="S31" s="116">
        <f t="shared" si="1"/>
        <v>750</v>
      </c>
      <c r="T31" s="102"/>
    </row>
    <row r="32" spans="1:20" s="360" customFormat="1" ht="21.75">
      <c r="A32" s="158">
        <v>26</v>
      </c>
      <c r="B32" s="159" t="s">
        <v>89</v>
      </c>
      <c r="C32" s="139" t="s">
        <v>90</v>
      </c>
      <c r="D32" s="139" t="s">
        <v>90</v>
      </c>
      <c r="E32" s="139" t="s">
        <v>72</v>
      </c>
      <c r="F32" s="127" t="s">
        <v>168</v>
      </c>
      <c r="G32" s="127">
        <f>+I32*J32</f>
        <v>10920</v>
      </c>
      <c r="H32" s="361" t="s">
        <v>88</v>
      </c>
      <c r="I32" s="139">
        <v>420</v>
      </c>
      <c r="J32" s="139">
        <v>26</v>
      </c>
      <c r="K32" s="139"/>
      <c r="L32" s="139"/>
      <c r="M32" s="127"/>
      <c r="N32" s="162"/>
      <c r="O32" s="127"/>
      <c r="P32" s="127">
        <f t="shared" ref="P32:P38" si="2">ROUND(G32*5%,0)</f>
        <v>546</v>
      </c>
      <c r="Q32" s="127"/>
      <c r="R32" s="127">
        <f t="shared" si="0"/>
        <v>10374</v>
      </c>
      <c r="S32" s="157">
        <f t="shared" si="1"/>
        <v>546</v>
      </c>
      <c r="T32" s="127"/>
    </row>
    <row r="33" spans="1:20" s="360" customFormat="1" ht="21.75">
      <c r="A33" s="158">
        <v>27</v>
      </c>
      <c r="B33" s="159" t="s">
        <v>94</v>
      </c>
      <c r="C33" s="160">
        <v>6016200526744</v>
      </c>
      <c r="D33" s="160">
        <v>991016244128</v>
      </c>
      <c r="E33" s="139" t="s">
        <v>95</v>
      </c>
      <c r="F33" s="127" t="s">
        <v>168</v>
      </c>
      <c r="G33" s="127">
        <f>I33*J33</f>
        <v>8500</v>
      </c>
      <c r="H33" s="361" t="s">
        <v>96</v>
      </c>
      <c r="I33" s="139">
        <v>340</v>
      </c>
      <c r="J33" s="139">
        <v>25</v>
      </c>
      <c r="K33" s="139"/>
      <c r="L33" s="139"/>
      <c r="M33" s="127"/>
      <c r="N33" s="162"/>
      <c r="O33" s="127"/>
      <c r="P33" s="127">
        <f t="shared" si="2"/>
        <v>425</v>
      </c>
      <c r="Q33" s="127"/>
      <c r="R33" s="127">
        <f t="shared" si="0"/>
        <v>8075</v>
      </c>
      <c r="S33" s="157">
        <f t="shared" si="1"/>
        <v>425</v>
      </c>
      <c r="T33" s="127"/>
    </row>
    <row r="34" spans="1:20" s="360" customFormat="1" ht="21.75">
      <c r="A34" s="158">
        <v>28</v>
      </c>
      <c r="B34" s="159" t="s">
        <v>97</v>
      </c>
      <c r="C34" s="160">
        <v>6016200526680</v>
      </c>
      <c r="D34" s="160">
        <v>991016243920</v>
      </c>
      <c r="E34" s="139" t="s">
        <v>95</v>
      </c>
      <c r="F34" s="127" t="s">
        <v>168</v>
      </c>
      <c r="G34" s="127">
        <f t="shared" ref="G34:G38" si="3">I34*J34</f>
        <v>8500</v>
      </c>
      <c r="H34" s="361" t="s">
        <v>96</v>
      </c>
      <c r="I34" s="139">
        <v>340</v>
      </c>
      <c r="J34" s="139">
        <v>25</v>
      </c>
      <c r="K34" s="139"/>
      <c r="L34" s="139"/>
      <c r="M34" s="127"/>
      <c r="N34" s="162"/>
      <c r="O34" s="127"/>
      <c r="P34" s="127">
        <f t="shared" si="2"/>
        <v>425</v>
      </c>
      <c r="Q34" s="127"/>
      <c r="R34" s="127">
        <f t="shared" si="0"/>
        <v>8075</v>
      </c>
      <c r="S34" s="157">
        <f t="shared" si="1"/>
        <v>425</v>
      </c>
      <c r="T34" s="127"/>
    </row>
    <row r="35" spans="1:20" s="360" customFormat="1" ht="21.75">
      <c r="A35" s="158">
        <v>29</v>
      </c>
      <c r="B35" s="159" t="s">
        <v>98</v>
      </c>
      <c r="C35" s="160">
        <v>6016200526639</v>
      </c>
      <c r="D35" s="160">
        <v>991016243091</v>
      </c>
      <c r="E35" s="139" t="s">
        <v>95</v>
      </c>
      <c r="F35" s="127" t="s">
        <v>168</v>
      </c>
      <c r="G35" s="127">
        <f t="shared" si="3"/>
        <v>8500</v>
      </c>
      <c r="H35" s="361" t="s">
        <v>96</v>
      </c>
      <c r="I35" s="139">
        <v>340</v>
      </c>
      <c r="J35" s="139">
        <v>25</v>
      </c>
      <c r="K35" s="139"/>
      <c r="L35" s="139"/>
      <c r="M35" s="127"/>
      <c r="N35" s="162"/>
      <c r="O35" s="127"/>
      <c r="P35" s="127">
        <f t="shared" si="2"/>
        <v>425</v>
      </c>
      <c r="Q35" s="127"/>
      <c r="R35" s="127">
        <f t="shared" si="0"/>
        <v>8075</v>
      </c>
      <c r="S35" s="157">
        <f t="shared" si="1"/>
        <v>425</v>
      </c>
      <c r="T35" s="127"/>
    </row>
    <row r="36" spans="1:20" s="360" customFormat="1" ht="21.75">
      <c r="A36" s="158">
        <v>30</v>
      </c>
      <c r="B36" s="159" t="s">
        <v>99</v>
      </c>
      <c r="C36" s="160">
        <v>6016200526591</v>
      </c>
      <c r="D36" s="160">
        <v>991016242486</v>
      </c>
      <c r="E36" s="139" t="s">
        <v>95</v>
      </c>
      <c r="F36" s="127" t="s">
        <v>168</v>
      </c>
      <c r="G36" s="127">
        <f t="shared" si="3"/>
        <v>8500</v>
      </c>
      <c r="H36" s="361" t="s">
        <v>96</v>
      </c>
      <c r="I36" s="139">
        <v>340</v>
      </c>
      <c r="J36" s="139">
        <v>25</v>
      </c>
      <c r="K36" s="139"/>
      <c r="L36" s="139"/>
      <c r="M36" s="127"/>
      <c r="N36" s="162"/>
      <c r="O36" s="127"/>
      <c r="P36" s="127">
        <f t="shared" si="2"/>
        <v>425</v>
      </c>
      <c r="Q36" s="127"/>
      <c r="R36" s="127">
        <f t="shared" si="0"/>
        <v>8075</v>
      </c>
      <c r="S36" s="157">
        <f t="shared" si="1"/>
        <v>425</v>
      </c>
      <c r="T36" s="127"/>
    </row>
    <row r="37" spans="1:20" s="360" customFormat="1" ht="21.75">
      <c r="A37" s="158">
        <v>31</v>
      </c>
      <c r="B37" s="336" t="s">
        <v>108</v>
      </c>
      <c r="C37" s="139" t="s">
        <v>109</v>
      </c>
      <c r="D37" s="160">
        <v>1229900526551</v>
      </c>
      <c r="E37" s="139" t="s">
        <v>72</v>
      </c>
      <c r="F37" s="127" t="s">
        <v>168</v>
      </c>
      <c r="G37" s="127">
        <f t="shared" si="3"/>
        <v>10560</v>
      </c>
      <c r="H37" s="161" t="s">
        <v>107</v>
      </c>
      <c r="I37" s="139">
        <v>440</v>
      </c>
      <c r="J37" s="139">
        <v>24</v>
      </c>
      <c r="K37" s="139"/>
      <c r="L37" s="139"/>
      <c r="M37" s="127"/>
      <c r="N37" s="162"/>
      <c r="O37" s="127"/>
      <c r="P37" s="127">
        <f t="shared" si="2"/>
        <v>528</v>
      </c>
      <c r="Q37" s="127"/>
      <c r="R37" s="127">
        <f t="shared" si="0"/>
        <v>10032</v>
      </c>
      <c r="S37" s="157">
        <f t="shared" si="1"/>
        <v>528</v>
      </c>
      <c r="T37" s="127"/>
    </row>
    <row r="38" spans="1:20" s="360" customFormat="1" ht="21.75">
      <c r="A38" s="158">
        <v>32</v>
      </c>
      <c r="B38" s="336" t="s">
        <v>112</v>
      </c>
      <c r="C38" s="160">
        <v>6016300837709</v>
      </c>
      <c r="D38" s="160">
        <v>991019747724</v>
      </c>
      <c r="E38" s="139" t="s">
        <v>95</v>
      </c>
      <c r="F38" s="127" t="s">
        <v>168</v>
      </c>
      <c r="G38" s="127">
        <f t="shared" si="3"/>
        <v>8500</v>
      </c>
      <c r="H38" s="161" t="s">
        <v>111</v>
      </c>
      <c r="I38" s="139">
        <v>340</v>
      </c>
      <c r="J38" s="139">
        <v>25</v>
      </c>
      <c r="K38" s="139"/>
      <c r="L38" s="139"/>
      <c r="M38" s="127"/>
      <c r="N38" s="162"/>
      <c r="O38" s="127"/>
      <c r="P38" s="127">
        <f t="shared" si="2"/>
        <v>425</v>
      </c>
      <c r="Q38" s="127"/>
      <c r="R38" s="127">
        <f t="shared" si="0"/>
        <v>8075</v>
      </c>
      <c r="S38" s="157">
        <f t="shared" si="1"/>
        <v>425</v>
      </c>
      <c r="T38" s="127"/>
    </row>
    <row r="39" spans="1:20" ht="21.75">
      <c r="A39" s="117">
        <v>33</v>
      </c>
      <c r="B39" s="106" t="s">
        <v>100</v>
      </c>
      <c r="C39" s="111">
        <v>1101500149087</v>
      </c>
      <c r="D39" s="97">
        <v>1101500149087</v>
      </c>
      <c r="E39" s="107" t="s">
        <v>44</v>
      </c>
      <c r="F39" s="198" t="s">
        <v>168</v>
      </c>
      <c r="G39" s="103">
        <v>25000</v>
      </c>
      <c r="H39" s="112" t="s">
        <v>101</v>
      </c>
      <c r="I39" s="107"/>
      <c r="J39" s="107"/>
      <c r="K39" s="107"/>
      <c r="L39" s="107"/>
      <c r="M39" s="103"/>
      <c r="N39" s="109"/>
      <c r="O39" s="103"/>
      <c r="P39" s="103">
        <v>750</v>
      </c>
      <c r="Q39" s="98"/>
      <c r="R39" s="103">
        <f t="shared" si="0"/>
        <v>24250</v>
      </c>
      <c r="S39" s="116">
        <f t="shared" si="1"/>
        <v>750</v>
      </c>
      <c r="T39" s="100"/>
    </row>
    <row r="40" spans="1:20" s="360" customFormat="1" ht="21.75">
      <c r="A40" s="158">
        <v>34</v>
      </c>
      <c r="B40" s="159" t="s">
        <v>102</v>
      </c>
      <c r="C40" s="160">
        <v>6016201374921</v>
      </c>
      <c r="D40" s="160">
        <v>991017408884</v>
      </c>
      <c r="E40" s="139" t="s">
        <v>95</v>
      </c>
      <c r="F40" s="127" t="s">
        <v>168</v>
      </c>
      <c r="G40" s="127">
        <f>+I40*J40</f>
        <v>8500</v>
      </c>
      <c r="H40" s="161" t="s">
        <v>106</v>
      </c>
      <c r="I40" s="139">
        <v>340</v>
      </c>
      <c r="J40" s="139">
        <v>25</v>
      </c>
      <c r="K40" s="139"/>
      <c r="L40" s="139"/>
      <c r="M40" s="127"/>
      <c r="N40" s="162"/>
      <c r="O40" s="127"/>
      <c r="P40" s="127">
        <f>ROUND(G40*5%,0)</f>
        <v>425</v>
      </c>
      <c r="Q40" s="127"/>
      <c r="R40" s="127">
        <f t="shared" si="0"/>
        <v>8075</v>
      </c>
      <c r="S40" s="157">
        <f t="shared" si="1"/>
        <v>425</v>
      </c>
      <c r="T40" s="127"/>
    </row>
    <row r="41" spans="1:20" ht="21.75">
      <c r="A41" s="117">
        <v>35</v>
      </c>
      <c r="B41" s="96" t="s">
        <v>118</v>
      </c>
      <c r="C41" s="97">
        <v>1229900643638</v>
      </c>
      <c r="D41" s="97">
        <v>1229900643638</v>
      </c>
      <c r="E41" s="95" t="s">
        <v>44</v>
      </c>
      <c r="F41" s="248" t="s">
        <v>168</v>
      </c>
      <c r="G41" s="98">
        <v>25000</v>
      </c>
      <c r="H41" s="99" t="s">
        <v>119</v>
      </c>
      <c r="I41" s="95"/>
      <c r="J41" s="95"/>
      <c r="K41" s="95"/>
      <c r="L41" s="107"/>
      <c r="M41" s="98"/>
      <c r="N41" s="115"/>
      <c r="O41" s="98"/>
      <c r="P41" s="103">
        <v>750</v>
      </c>
      <c r="Q41" s="98"/>
      <c r="R41" s="103">
        <f t="shared" si="0"/>
        <v>24250</v>
      </c>
      <c r="S41" s="116">
        <f t="shared" si="1"/>
        <v>750</v>
      </c>
      <c r="T41" s="100"/>
    </row>
    <row r="42" spans="1:20" ht="21.75">
      <c r="A42" s="117">
        <v>36</v>
      </c>
      <c r="B42" s="96" t="s">
        <v>120</v>
      </c>
      <c r="C42" s="97">
        <v>3402000037896</v>
      </c>
      <c r="D42" s="97">
        <v>3402000037896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750</v>
      </c>
      <c r="Q42" s="98"/>
      <c r="R42" s="103">
        <f t="shared" si="0"/>
        <v>24250</v>
      </c>
      <c r="S42" s="116">
        <f t="shared" si="1"/>
        <v>750</v>
      </c>
      <c r="T42" s="100"/>
    </row>
    <row r="43" spans="1:20" ht="21.75">
      <c r="A43" s="117">
        <v>37</v>
      </c>
      <c r="B43" s="96" t="s">
        <v>121</v>
      </c>
      <c r="C43" s="97">
        <v>3341600658671</v>
      </c>
      <c r="D43" s="97">
        <v>3341600658671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750</v>
      </c>
      <c r="Q43" s="98"/>
      <c r="R43" s="103">
        <f t="shared" si="0"/>
        <v>24250</v>
      </c>
      <c r="S43" s="116">
        <f t="shared" si="1"/>
        <v>750</v>
      </c>
      <c r="T43" s="100"/>
    </row>
    <row r="44" spans="1:20" ht="21.75">
      <c r="A44" s="117">
        <v>38</v>
      </c>
      <c r="B44" s="96" t="s">
        <v>122</v>
      </c>
      <c r="C44" s="97">
        <v>3930100204585</v>
      </c>
      <c r="D44" s="97">
        <v>3930100204585</v>
      </c>
      <c r="E44" s="95" t="s">
        <v>19</v>
      </c>
      <c r="F44" s="353" t="s">
        <v>169</v>
      </c>
      <c r="G44" s="98">
        <v>16500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750</v>
      </c>
      <c r="Q44" s="98"/>
      <c r="R44" s="103">
        <f t="shared" si="0"/>
        <v>15750</v>
      </c>
      <c r="S44" s="116">
        <f t="shared" si="1"/>
        <v>750</v>
      </c>
      <c r="T44" s="100"/>
    </row>
    <row r="45" spans="1:20" s="360" customFormat="1" ht="21.75">
      <c r="A45" s="158">
        <v>39</v>
      </c>
      <c r="B45" s="362" t="s">
        <v>138</v>
      </c>
      <c r="C45" s="363">
        <v>1461000135963</v>
      </c>
      <c r="D45" s="160">
        <v>1461000135963</v>
      </c>
      <c r="E45" s="146" t="s">
        <v>95</v>
      </c>
      <c r="F45" s="157" t="s">
        <v>168</v>
      </c>
      <c r="G45" s="157">
        <f>I45*J45</f>
        <v>8640</v>
      </c>
      <c r="H45" s="364" t="s">
        <v>139</v>
      </c>
      <c r="I45" s="146">
        <v>360</v>
      </c>
      <c r="J45" s="146">
        <v>24</v>
      </c>
      <c r="K45" s="146"/>
      <c r="L45" s="139"/>
      <c r="M45" s="157"/>
      <c r="N45" s="365"/>
      <c r="O45" s="157"/>
      <c r="P45" s="127">
        <f>ROUND(G45*5%,0)</f>
        <v>432</v>
      </c>
      <c r="Q45" s="157"/>
      <c r="R45" s="127">
        <f t="shared" si="0"/>
        <v>8208</v>
      </c>
      <c r="S45" s="157">
        <f t="shared" si="1"/>
        <v>432</v>
      </c>
      <c r="T45" s="127"/>
    </row>
    <row r="46" spans="1:20" ht="21.75">
      <c r="A46" s="117">
        <v>40</v>
      </c>
      <c r="B46" s="180" t="s">
        <v>163</v>
      </c>
      <c r="C46" s="181">
        <v>6016100144033</v>
      </c>
      <c r="D46" s="97">
        <v>239989001934</v>
      </c>
      <c r="E46" s="182" t="s">
        <v>32</v>
      </c>
      <c r="F46" s="352" t="s">
        <v>169</v>
      </c>
      <c r="G46" s="116">
        <v>26000</v>
      </c>
      <c r="H46" s="99" t="s">
        <v>164</v>
      </c>
      <c r="I46" s="95"/>
      <c r="J46" s="95"/>
      <c r="K46" s="183"/>
      <c r="L46" s="107"/>
      <c r="M46" s="185"/>
      <c r="N46" s="115"/>
      <c r="O46" s="185"/>
      <c r="P46" s="103">
        <v>750</v>
      </c>
      <c r="Q46" s="116"/>
      <c r="R46" s="103">
        <f t="shared" si="0"/>
        <v>25250</v>
      </c>
      <c r="S46" s="116">
        <f t="shared" si="1"/>
        <v>750</v>
      </c>
      <c r="T46" s="100"/>
    </row>
    <row r="47" spans="1:20" s="360" customFormat="1" ht="21.75">
      <c r="A47" s="158">
        <v>41</v>
      </c>
      <c r="B47" s="362" t="s">
        <v>192</v>
      </c>
      <c r="C47" s="160">
        <v>1499900366870</v>
      </c>
      <c r="D47" s="363">
        <v>1499900366870</v>
      </c>
      <c r="E47" s="146" t="s">
        <v>72</v>
      </c>
      <c r="F47" s="157" t="s">
        <v>168</v>
      </c>
      <c r="G47" s="157">
        <f>I47*J47</f>
        <v>8050</v>
      </c>
      <c r="H47" s="364" t="s">
        <v>194</v>
      </c>
      <c r="I47" s="146">
        <v>350</v>
      </c>
      <c r="J47" s="146">
        <v>23</v>
      </c>
      <c r="K47" s="146"/>
      <c r="L47" s="139"/>
      <c r="M47" s="157"/>
      <c r="N47" s="365"/>
      <c r="O47" s="157"/>
      <c r="P47" s="127">
        <f>ROUND(G47*5%,0)</f>
        <v>403</v>
      </c>
      <c r="Q47" s="157"/>
      <c r="R47" s="127">
        <f t="shared" si="0"/>
        <v>7647</v>
      </c>
      <c r="S47" s="157">
        <f t="shared" si="1"/>
        <v>403</v>
      </c>
      <c r="T47" s="127"/>
    </row>
    <row r="48" spans="1:20" ht="21.75">
      <c r="A48" s="117">
        <v>42</v>
      </c>
      <c r="B48" s="180" t="s">
        <v>226</v>
      </c>
      <c r="C48" s="97" t="s">
        <v>227</v>
      </c>
      <c r="D48" s="97" t="s">
        <v>227</v>
      </c>
      <c r="E48" s="182" t="s">
        <v>32</v>
      </c>
      <c r="F48" s="357" t="s">
        <v>169</v>
      </c>
      <c r="G48" s="116">
        <v>12000</v>
      </c>
      <c r="H48" s="347" t="s">
        <v>229</v>
      </c>
      <c r="I48" s="182"/>
      <c r="J48" s="182"/>
      <c r="K48" s="182"/>
      <c r="L48" s="107"/>
      <c r="M48" s="116"/>
      <c r="N48" s="348"/>
      <c r="O48" s="116"/>
      <c r="P48" s="103">
        <v>600</v>
      </c>
      <c r="Q48" s="116"/>
      <c r="R48" s="103">
        <f t="shared" si="0"/>
        <v>11400</v>
      </c>
      <c r="S48" s="116">
        <f t="shared" si="1"/>
        <v>600</v>
      </c>
      <c r="T48" s="103"/>
    </row>
    <row r="49" spans="1:20" ht="21.75">
      <c r="A49" s="117">
        <v>43</v>
      </c>
      <c r="B49" s="180" t="s">
        <v>225</v>
      </c>
      <c r="C49" s="107" t="s">
        <v>228</v>
      </c>
      <c r="D49" s="107" t="s">
        <v>228</v>
      </c>
      <c r="E49" s="182" t="s">
        <v>32</v>
      </c>
      <c r="F49" s="357" t="s">
        <v>169</v>
      </c>
      <c r="G49" s="116">
        <v>12000</v>
      </c>
      <c r="H49" s="347" t="s">
        <v>230</v>
      </c>
      <c r="I49" s="182"/>
      <c r="J49" s="182"/>
      <c r="K49" s="182"/>
      <c r="L49" s="107"/>
      <c r="M49" s="116"/>
      <c r="N49" s="348"/>
      <c r="O49" s="116"/>
      <c r="P49" s="103">
        <v>600</v>
      </c>
      <c r="Q49" s="116"/>
      <c r="R49" s="103">
        <f t="shared" si="0"/>
        <v>11400</v>
      </c>
      <c r="S49" s="116">
        <f t="shared" si="1"/>
        <v>600</v>
      </c>
      <c r="T49" s="103"/>
    </row>
    <row r="50" spans="1:20" ht="21.75">
      <c r="A50" s="117">
        <v>44</v>
      </c>
      <c r="B50" s="180" t="s">
        <v>236</v>
      </c>
      <c r="C50" s="107" t="s">
        <v>238</v>
      </c>
      <c r="D50" s="107" t="s">
        <v>238</v>
      </c>
      <c r="E50" s="182" t="s">
        <v>44</v>
      </c>
      <c r="F50" s="128" t="s">
        <v>168</v>
      </c>
      <c r="G50" s="116">
        <v>25000</v>
      </c>
      <c r="H50" s="347" t="s">
        <v>237</v>
      </c>
      <c r="I50" s="182"/>
      <c r="J50" s="182"/>
      <c r="K50" s="182"/>
      <c r="L50" s="358"/>
      <c r="M50" s="116"/>
      <c r="N50" s="184"/>
      <c r="O50" s="116"/>
      <c r="P50" s="359">
        <v>750</v>
      </c>
      <c r="Q50" s="116"/>
      <c r="R50" s="359">
        <f t="shared" si="0"/>
        <v>24250</v>
      </c>
      <c r="S50" s="116">
        <f t="shared" si="1"/>
        <v>750</v>
      </c>
      <c r="T50" s="359"/>
    </row>
    <row r="51" spans="1:20" ht="22.5" thickBot="1">
      <c r="A51" s="402" t="s">
        <v>103</v>
      </c>
      <c r="B51" s="402"/>
      <c r="C51" s="402"/>
      <c r="D51" s="402"/>
      <c r="E51" s="402"/>
      <c r="F51" s="402"/>
      <c r="G51" s="89">
        <f>SUM(G7:G50)</f>
        <v>798850</v>
      </c>
      <c r="H51" s="75"/>
      <c r="I51" s="75"/>
      <c r="J51" s="75"/>
      <c r="K51" s="89">
        <f>SUM(K7:K49)</f>
        <v>0</v>
      </c>
      <c r="L51" s="89">
        <f>SUM(L7:L49)</f>
        <v>0</v>
      </c>
      <c r="M51" s="89">
        <f>SUM(M7:M49)</f>
        <v>0</v>
      </c>
      <c r="N51" s="87"/>
      <c r="O51" s="87"/>
      <c r="P51" s="89">
        <f>SUM(P7:P50)</f>
        <v>29103</v>
      </c>
      <c r="Q51" s="89">
        <f>SUM(Q7:Q49)</f>
        <v>1510</v>
      </c>
      <c r="R51" s="89">
        <f>SUM(R7:R50)</f>
        <v>768237</v>
      </c>
      <c r="S51" s="89">
        <f>SUM(S7:S50)</f>
        <v>29103</v>
      </c>
      <c r="T51" s="310"/>
    </row>
    <row r="52" spans="1:20" ht="23.25" thickTop="1" thickBot="1">
      <c r="A52" s="119"/>
      <c r="B52" s="3"/>
      <c r="C52" s="3"/>
      <c r="D52" s="49"/>
      <c r="E52" s="3"/>
      <c r="F52" s="3"/>
      <c r="G52" s="39"/>
      <c r="H52" s="39"/>
      <c r="I52" s="39"/>
      <c r="J52" s="39"/>
      <c r="K52" s="39"/>
      <c r="L52" s="39"/>
      <c r="M52" s="39"/>
      <c r="N52" s="331"/>
      <c r="O52" s="331"/>
      <c r="P52" s="39"/>
      <c r="Q52" s="166"/>
      <c r="R52" s="39"/>
      <c r="S52" s="76"/>
      <c r="T52" s="5"/>
    </row>
    <row r="53" spans="1:20" ht="38.25" customHeight="1" thickBot="1">
      <c r="A53" s="119"/>
      <c r="B53" s="50" t="s">
        <v>12</v>
      </c>
      <c r="C53" s="3"/>
      <c r="D53" s="49"/>
      <c r="E53" s="3"/>
      <c r="F53" s="3"/>
      <c r="G53" s="39"/>
      <c r="H53" s="156" t="s">
        <v>145</v>
      </c>
      <c r="I53" s="39"/>
      <c r="J53" s="39"/>
      <c r="K53" s="39"/>
      <c r="L53" s="1"/>
      <c r="M53" s="94"/>
      <c r="N53" s="1"/>
      <c r="O53" s="1"/>
      <c r="P53" s="303" t="s">
        <v>158</v>
      </c>
      <c r="Q53" s="153" t="s">
        <v>159</v>
      </c>
      <c r="R53" s="153" t="s">
        <v>190</v>
      </c>
      <c r="S53" s="164" t="s">
        <v>150</v>
      </c>
      <c r="T53" s="153" t="s">
        <v>11</v>
      </c>
    </row>
    <row r="54" spans="1:20" ht="21.75">
      <c r="A54" s="119"/>
      <c r="B54" s="52" t="s">
        <v>156</v>
      </c>
      <c r="C54" s="149"/>
      <c r="D54" s="149"/>
      <c r="E54" s="54" t="s">
        <v>142</v>
      </c>
      <c r="F54" s="54"/>
      <c r="G54" s="55" t="s">
        <v>140</v>
      </c>
      <c r="H54" s="366" t="s">
        <v>141</v>
      </c>
      <c r="I54" s="170">
        <v>12</v>
      </c>
      <c r="J54" s="171" t="s">
        <v>142</v>
      </c>
      <c r="K54" s="148"/>
      <c r="L54" s="1"/>
      <c r="M54" s="94"/>
      <c r="N54" s="1"/>
      <c r="O54" s="1"/>
      <c r="P54" s="16">
        <f>+G26+G27+G32+G33+G34+G35+G36+G37+G38+G40+G45+G47</f>
        <v>109050</v>
      </c>
      <c r="Q54" s="16">
        <f>+P26+P27+P32+P33+P34+P35+P36+P37+P38+P40+P45+P47</f>
        <v>5453</v>
      </c>
      <c r="R54" s="16">
        <f>+M26+M27+M32+M33+M34+M35+M36+M38+M40+M45+M49</f>
        <v>0</v>
      </c>
      <c r="S54" s="24">
        <v>0</v>
      </c>
      <c r="T54" s="349">
        <f>+R26+R27+R32+R33+R34+R35+R36+R37+R38+R40+R45+R47</f>
        <v>103597</v>
      </c>
    </row>
    <row r="55" spans="1:20" ht="21.75">
      <c r="A55" s="119"/>
      <c r="B55" s="56" t="s">
        <v>137</v>
      </c>
      <c r="C55" s="150"/>
      <c r="D55" s="118"/>
      <c r="E55" s="6" t="s">
        <v>142</v>
      </c>
      <c r="F55" s="6"/>
      <c r="G55" s="190" t="s">
        <v>162</v>
      </c>
      <c r="H55" s="367" t="s">
        <v>144</v>
      </c>
      <c r="I55" s="173">
        <v>32</v>
      </c>
      <c r="J55" s="174" t="s">
        <v>142</v>
      </c>
      <c r="K55" s="148"/>
      <c r="L55" s="1"/>
      <c r="M55" s="94"/>
      <c r="N55" s="1"/>
      <c r="O55" s="1"/>
      <c r="P55" s="16">
        <f>G7+G8+G9+G10+G11+G12+G13+G14+G15+G16+G17+G18+G19+G20+G21+G22+G23+G24+G25+G28+G29+G30+G31+G39+G41+G42+G43+G44+G46+G48+G49+G50</f>
        <v>689800</v>
      </c>
      <c r="Q55" s="16">
        <f>+P7+P8+P9+P10+P11+P12+P13+P14+P15+P16+P17+P18+P19+P20+P21+P22+P23+P24+P25+P28+P29+P30+P31+P39+P41+P42+P43+P44+P46+P48+P49+P50</f>
        <v>23650</v>
      </c>
      <c r="R55" s="16">
        <f>+M7+M8+M9+M10+M11+M12+M13+M14+M15+M16+M17+M18+M19+M20+M21+M22+M23+M24+M25+M28+M29+M30+M31+M39+M41+M42+M43+M44+M46</f>
        <v>0</v>
      </c>
      <c r="S55" s="24">
        <f>+Q10+Q13</f>
        <v>1510</v>
      </c>
      <c r="T55" s="16">
        <f>+R7+R8+R9+R10+R11+R12+R13+R14+R15+R16+R17+R18+R19+R20+R21+R22+R23+R24+R25+R28+R29+R30+R31+R39+R41+R42+R43+R44+R46+R48+R49+R50</f>
        <v>664640</v>
      </c>
    </row>
    <row r="56" spans="1:20" ht="24.75" thickBot="1">
      <c r="A56" s="119"/>
      <c r="B56" s="419"/>
      <c r="C56" s="420"/>
      <c r="D56" s="300"/>
      <c r="E56" s="187"/>
      <c r="F56" s="187"/>
      <c r="G56" s="188"/>
      <c r="H56" s="189" t="s">
        <v>147</v>
      </c>
      <c r="I56" s="69">
        <f>SUM(I54:I55)</f>
        <v>44</v>
      </c>
      <c r="J56" s="155" t="s">
        <v>142</v>
      </c>
      <c r="K56" s="154"/>
      <c r="L56" s="154"/>
      <c r="M56" s="307"/>
      <c r="N56" s="1"/>
      <c r="O56" s="1"/>
      <c r="P56" s="308">
        <f>SUM(P54:P55)</f>
        <v>798850</v>
      </c>
      <c r="Q56" s="308">
        <f>SUM(Q54:Q55)</f>
        <v>29103</v>
      </c>
      <c r="R56" s="308">
        <f>SUM(R54:R55)</f>
        <v>0</v>
      </c>
      <c r="S56" s="309">
        <f>SUM(S54:S55)</f>
        <v>1510</v>
      </c>
      <c r="T56" s="308">
        <f>SUM(T54:T55)</f>
        <v>768237</v>
      </c>
    </row>
    <row r="57" spans="1:20" ht="24">
      <c r="A57" s="119"/>
      <c r="B57" s="311"/>
      <c r="C57" s="311"/>
      <c r="D57" s="311"/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4">
      <c r="A58" s="119"/>
      <c r="B58" s="316"/>
      <c r="C58" s="317"/>
      <c r="D58" s="317"/>
      <c r="E58" s="317"/>
      <c r="F58" s="317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/>
      <c r="C59" s="7"/>
      <c r="D59" s="345"/>
      <c r="E59" s="316"/>
      <c r="F59" s="356"/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.75" thickBot="1">
      <c r="A60" s="120"/>
      <c r="B60" s="1"/>
      <c r="C60" s="326"/>
      <c r="D60" s="2"/>
      <c r="E60" s="1"/>
      <c r="F60" s="1"/>
      <c r="G60" s="1"/>
      <c r="H60" s="1"/>
      <c r="I60" s="1"/>
      <c r="J60" s="1"/>
      <c r="K60" s="1"/>
      <c r="L60" s="1"/>
      <c r="M60" s="94"/>
      <c r="N60" s="1"/>
      <c r="O60" s="1"/>
      <c r="P60" s="1"/>
      <c r="Q60" s="168"/>
      <c r="R60" s="1"/>
      <c r="S60" s="76"/>
      <c r="T60" s="1"/>
    </row>
    <row r="61" spans="1:20" ht="22.5" thickBot="1">
      <c r="A61" s="120"/>
      <c r="B61" s="429" t="s">
        <v>214</v>
      </c>
      <c r="C61" s="430"/>
      <c r="D61" s="430"/>
      <c r="E61" s="430"/>
      <c r="F61" s="430"/>
      <c r="G61" s="430"/>
      <c r="H61" s="430"/>
      <c r="I61" s="43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43.5">
      <c r="B62" s="42" t="s">
        <v>167</v>
      </c>
      <c r="C62" s="42" t="s">
        <v>158</v>
      </c>
      <c r="D62" s="346" t="s">
        <v>176</v>
      </c>
      <c r="E62" s="346" t="s">
        <v>177</v>
      </c>
      <c r="F62" s="346" t="s">
        <v>215</v>
      </c>
      <c r="G62" s="43" t="s">
        <v>150</v>
      </c>
      <c r="H62" s="346" t="s">
        <v>172</v>
      </c>
      <c r="I62" s="346" t="s">
        <v>216</v>
      </c>
    </row>
    <row r="63" spans="1:20" ht="21.75">
      <c r="B63" s="199" t="s">
        <v>178</v>
      </c>
      <c r="C63" s="197">
        <f>G7+G12+G14+G15+G16+G17+G18+G21+G22+G23+G24+G25+G26+G27+G28+G31+G32+G33+G34+G35+G36+G37+G38+G39+G40+G41+G42+G43+G45+G47+G50</f>
        <v>559850</v>
      </c>
      <c r="D63" s="197">
        <f>S7+S12+S14+S15+S16+S17+S18+S21+S22+S23+S24+S25+S26+S27+S28+S31+S32+S33+S34+S35+S36+S37+S38+S39+S40+S41+S42+S43+S45+S47+S50</f>
        <v>19703</v>
      </c>
      <c r="E63" s="197">
        <f>P7+P12+P14+P15+P16+P17+P18+P21+P22+P23+P24+P25+P26+P27+P28+P31+P32+P33+P34+P35+P36+P37+P38+P39+P40+P41+P42+P43+P45+P47+P50</f>
        <v>19703</v>
      </c>
      <c r="F63" s="197">
        <f>M27+M33+M34+M35+M36+M38+M40+M45</f>
        <v>0</v>
      </c>
      <c r="G63" s="197">
        <v>0</v>
      </c>
      <c r="H63" s="197">
        <f>D63+E63</f>
        <v>39406</v>
      </c>
      <c r="I63" s="197">
        <f>+C63+D63+F63-H63-G63</f>
        <v>540147</v>
      </c>
    </row>
    <row r="64" spans="1:20" ht="21.75">
      <c r="B64" s="191" t="s">
        <v>175</v>
      </c>
      <c r="C64" s="204">
        <f>G8+G9+G10+G11+G13+G19+G20+G29+G30+G44+G46+G48+G49</f>
        <v>239000</v>
      </c>
      <c r="D64" s="204">
        <f>S8+S9+S10+S11+S13+S19+S20+S29+S30+S44+S46+S48+S49</f>
        <v>9400</v>
      </c>
      <c r="E64" s="204">
        <f>P8+P9+P10+P11+P13+P19+P20+P29+P30+P44+P46+P48+P49</f>
        <v>9400</v>
      </c>
      <c r="F64" s="204"/>
      <c r="G64" s="204">
        <f>Q10+Q13</f>
        <v>1510</v>
      </c>
      <c r="H64" s="204">
        <f>D64+E64</f>
        <v>18800</v>
      </c>
      <c r="I64" s="204">
        <f>+C64+D64+F64-H64-G64</f>
        <v>228090</v>
      </c>
    </row>
    <row r="65" spans="2:9" ht="24">
      <c r="B65" s="195" t="s">
        <v>147</v>
      </c>
      <c r="C65" s="233">
        <f t="shared" ref="C65:I65" si="4">SUM(C63:C64)</f>
        <v>798850</v>
      </c>
      <c r="D65" s="233">
        <f t="shared" si="4"/>
        <v>29103</v>
      </c>
      <c r="E65" s="233">
        <f t="shared" si="4"/>
        <v>29103</v>
      </c>
      <c r="F65" s="233">
        <f t="shared" si="4"/>
        <v>0</v>
      </c>
      <c r="G65" s="233">
        <f t="shared" si="4"/>
        <v>1510</v>
      </c>
      <c r="H65" s="233">
        <f t="shared" si="4"/>
        <v>58206</v>
      </c>
      <c r="I65" s="233">
        <f t="shared" si="4"/>
        <v>768237</v>
      </c>
    </row>
  </sheetData>
  <mergeCells count="20">
    <mergeCell ref="A51:F51"/>
    <mergeCell ref="B56:C56"/>
    <mergeCell ref="B61:I61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7" right="0.7" top="0.75" bottom="0.75" header="0.3" footer="0.3"/>
  <pageSetup paperSize="9" scale="52" fitToHeight="0" orientation="landscape" horizontalDpi="4294967293" verticalDpi="0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BA3A-3600-4EF8-B8A3-88587403EA03}">
  <sheetPr>
    <pageSetUpPr fitToPage="1"/>
  </sheetPr>
  <dimension ref="A1:T66"/>
  <sheetViews>
    <sheetView topLeftCell="A48" zoomScale="90" zoomScaleNormal="90" workbookViewId="0">
      <selection activeCell="R64" sqref="R64"/>
    </sheetView>
  </sheetViews>
  <sheetFormatPr defaultRowHeight="15"/>
  <cols>
    <col min="1" max="1" width="4.42578125" customWidth="1"/>
    <col min="2" max="2" width="22.28515625" customWidth="1"/>
    <col min="3" max="3" width="23.42578125" customWidth="1"/>
    <col min="4" max="4" width="18.28515625" customWidth="1"/>
    <col min="5" max="5" width="15.7109375" customWidth="1"/>
    <col min="6" max="6" width="10.42578125" bestFit="1" customWidth="1"/>
    <col min="7" max="7" width="14.140625" bestFit="1" customWidth="1"/>
    <col min="8" max="8" width="17" customWidth="1"/>
    <col min="9" max="9" width="11.140625" bestFit="1" customWidth="1"/>
    <col min="11" max="15" width="0" hidden="1" customWidth="1"/>
    <col min="16" max="16" width="16" bestFit="1" customWidth="1"/>
    <col min="17" max="17" width="13.42578125" customWidth="1"/>
    <col min="18" max="18" width="11.85546875" bestFit="1" customWidth="1"/>
    <col min="19" max="19" width="14" bestFit="1" customWidth="1"/>
    <col min="20" max="20" width="15.8554687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240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149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124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98">
        <v>450</v>
      </c>
      <c r="Q7" s="98"/>
      <c r="R7" s="103">
        <f>SUM(G7+M7-P7-Q7)</f>
        <v>15550</v>
      </c>
      <c r="S7" s="116">
        <f>P7</f>
        <v>450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98">
        <f t="shared" ref="P8:P9" si="0">ROUND(G8*3%,0)</f>
        <v>435</v>
      </c>
      <c r="Q8" s="98"/>
      <c r="R8" s="103">
        <f t="shared" ref="R8:R51" si="1">SUM(G8+M8-P8-Q8)</f>
        <v>14065</v>
      </c>
      <c r="S8" s="116">
        <f t="shared" ref="S8:S51" si="2">P8</f>
        <v>435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98">
        <f t="shared" si="0"/>
        <v>435</v>
      </c>
      <c r="Q9" s="98"/>
      <c r="R9" s="103">
        <f t="shared" si="1"/>
        <v>14065</v>
      </c>
      <c r="S9" s="116">
        <f t="shared" si="2"/>
        <v>435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98">
        <v>450</v>
      </c>
      <c r="Q10" s="98">
        <v>707</v>
      </c>
      <c r="R10" s="103">
        <f t="shared" si="1"/>
        <v>16343</v>
      </c>
      <c r="S10" s="116">
        <f t="shared" si="2"/>
        <v>450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98">
        <v>450</v>
      </c>
      <c r="Q11" s="98"/>
      <c r="R11" s="103">
        <f t="shared" si="1"/>
        <v>18550</v>
      </c>
      <c r="S11" s="116">
        <f t="shared" si="2"/>
        <v>450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98">
        <v>450</v>
      </c>
      <c r="Q12" s="98"/>
      <c r="R12" s="103">
        <f t="shared" si="1"/>
        <v>20550</v>
      </c>
      <c r="S12" s="116">
        <f t="shared" si="2"/>
        <v>450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98">
        <v>450</v>
      </c>
      <c r="Q13" s="98">
        <v>803</v>
      </c>
      <c r="R13" s="103">
        <f t="shared" si="1"/>
        <v>21747</v>
      </c>
      <c r="S13" s="116">
        <f t="shared" si="2"/>
        <v>450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98">
        <v>450</v>
      </c>
      <c r="Q14" s="98"/>
      <c r="R14" s="103">
        <f t="shared" si="1"/>
        <v>24550</v>
      </c>
      <c r="S14" s="116">
        <f t="shared" si="2"/>
        <v>450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98">
        <v>450</v>
      </c>
      <c r="Q15" s="98"/>
      <c r="R15" s="103">
        <f t="shared" si="1"/>
        <v>20550</v>
      </c>
      <c r="S15" s="116">
        <f t="shared" si="2"/>
        <v>450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98">
        <v>450</v>
      </c>
      <c r="Q16" s="98"/>
      <c r="R16" s="103">
        <f t="shared" si="1"/>
        <v>18550</v>
      </c>
      <c r="S16" s="116">
        <f t="shared" si="2"/>
        <v>450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98">
        <v>450</v>
      </c>
      <c r="Q17" s="98"/>
      <c r="R17" s="103">
        <f t="shared" si="1"/>
        <v>24550</v>
      </c>
      <c r="S17" s="116">
        <f t="shared" si="2"/>
        <v>450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98">
        <v>450</v>
      </c>
      <c r="Q18" s="98"/>
      <c r="R18" s="103">
        <f t="shared" si="1"/>
        <v>23350</v>
      </c>
      <c r="S18" s="116">
        <f t="shared" si="2"/>
        <v>450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98">
        <v>450</v>
      </c>
      <c r="Q19" s="98"/>
      <c r="R19" s="103">
        <f t="shared" si="1"/>
        <v>24550</v>
      </c>
      <c r="S19" s="116">
        <f t="shared" si="2"/>
        <v>450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98">
        <v>450</v>
      </c>
      <c r="Q20" s="98"/>
      <c r="R20" s="103">
        <f t="shared" si="1"/>
        <v>24550</v>
      </c>
      <c r="S20" s="116">
        <f t="shared" si="2"/>
        <v>450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98">
        <v>450</v>
      </c>
      <c r="Q21" s="98"/>
      <c r="R21" s="103">
        <f t="shared" si="1"/>
        <v>24550</v>
      </c>
      <c r="S21" s="116">
        <f t="shared" si="2"/>
        <v>450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98">
        <v>450</v>
      </c>
      <c r="Q22" s="98"/>
      <c r="R22" s="103">
        <f t="shared" si="1"/>
        <v>24550</v>
      </c>
      <c r="S22" s="116">
        <f t="shared" si="2"/>
        <v>450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98">
        <v>450</v>
      </c>
      <c r="Q23" s="98"/>
      <c r="R23" s="103">
        <f t="shared" si="1"/>
        <v>24550</v>
      </c>
      <c r="S23" s="116">
        <f t="shared" si="2"/>
        <v>450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98">
        <v>450</v>
      </c>
      <c r="Q24" s="98"/>
      <c r="R24" s="103">
        <f t="shared" si="1"/>
        <v>24550</v>
      </c>
      <c r="S24" s="116">
        <f t="shared" si="2"/>
        <v>450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98">
        <v>450</v>
      </c>
      <c r="Q25" s="98"/>
      <c r="R25" s="103">
        <f t="shared" si="1"/>
        <v>24550</v>
      </c>
      <c r="S25" s="116">
        <f t="shared" si="2"/>
        <v>450</v>
      </c>
      <c r="T25" s="100"/>
    </row>
    <row r="26" spans="1:20" s="368" customFormat="1" ht="21.75">
      <c r="A26" s="121">
        <v>20</v>
      </c>
      <c r="B26" s="140" t="s">
        <v>70</v>
      </c>
      <c r="C26" s="132" t="s">
        <v>71</v>
      </c>
      <c r="D26" s="137">
        <v>3220600129554</v>
      </c>
      <c r="E26" s="132" t="s">
        <v>72</v>
      </c>
      <c r="F26" s="135" t="s">
        <v>168</v>
      </c>
      <c r="G26" s="135">
        <f>+I26*J26</f>
        <v>11000</v>
      </c>
      <c r="H26" s="132"/>
      <c r="I26" s="132">
        <v>440</v>
      </c>
      <c r="J26" s="132">
        <v>25</v>
      </c>
      <c r="K26" s="132"/>
      <c r="L26" s="132"/>
      <c r="M26" s="135"/>
      <c r="N26" s="134"/>
      <c r="O26" s="135"/>
      <c r="P26" s="135">
        <f>ROUND(G26*3%,0)</f>
        <v>330</v>
      </c>
      <c r="Q26" s="135"/>
      <c r="R26" s="135">
        <f t="shared" si="1"/>
        <v>10670</v>
      </c>
      <c r="S26" s="128">
        <f t="shared" si="2"/>
        <v>330</v>
      </c>
      <c r="T26" s="135"/>
    </row>
    <row r="27" spans="1:20" s="368" customFormat="1" ht="21.75">
      <c r="A27" s="121">
        <v>21</v>
      </c>
      <c r="B27" s="140" t="s">
        <v>73</v>
      </c>
      <c r="C27" s="132" t="s">
        <v>74</v>
      </c>
      <c r="D27" s="137">
        <v>1330400154485</v>
      </c>
      <c r="E27" s="132" t="s">
        <v>72</v>
      </c>
      <c r="F27" s="135" t="s">
        <v>168</v>
      </c>
      <c r="G27" s="135">
        <f>+I27*J27</f>
        <v>8510</v>
      </c>
      <c r="H27" s="132"/>
      <c r="I27" s="132">
        <v>370</v>
      </c>
      <c r="J27" s="132">
        <v>23</v>
      </c>
      <c r="K27" s="132"/>
      <c r="L27" s="132"/>
      <c r="M27" s="135"/>
      <c r="N27" s="134"/>
      <c r="O27" s="135"/>
      <c r="P27" s="135">
        <f>ROUND(G27*3%,0)</f>
        <v>255</v>
      </c>
      <c r="Q27" s="135"/>
      <c r="R27" s="135">
        <f t="shared" si="1"/>
        <v>8255</v>
      </c>
      <c r="S27" s="128">
        <f t="shared" si="2"/>
        <v>255</v>
      </c>
      <c r="T27" s="135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450</v>
      </c>
      <c r="Q28" s="98"/>
      <c r="R28" s="103">
        <f t="shared" si="1"/>
        <v>24550</v>
      </c>
      <c r="S28" s="116">
        <f t="shared" si="2"/>
        <v>450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450</v>
      </c>
      <c r="Q29" s="98"/>
      <c r="R29" s="103">
        <f t="shared" si="1"/>
        <v>16550</v>
      </c>
      <c r="S29" s="116">
        <f t="shared" si="2"/>
        <v>450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450</v>
      </c>
      <c r="Q30" s="98"/>
      <c r="R30" s="103">
        <f t="shared" si="1"/>
        <v>16550</v>
      </c>
      <c r="S30" s="116">
        <f t="shared" si="2"/>
        <v>450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450</v>
      </c>
      <c r="Q31" s="98"/>
      <c r="R31" s="103">
        <f t="shared" si="1"/>
        <v>24550</v>
      </c>
      <c r="S31" s="116">
        <f t="shared" si="2"/>
        <v>450</v>
      </c>
      <c r="T31" s="102"/>
    </row>
    <row r="32" spans="1:20" s="368" customFormat="1" ht="21.75">
      <c r="A32" s="121">
        <v>26</v>
      </c>
      <c r="B32" s="140" t="s">
        <v>89</v>
      </c>
      <c r="C32" s="132" t="s">
        <v>90</v>
      </c>
      <c r="D32" s="132" t="s">
        <v>90</v>
      </c>
      <c r="E32" s="132" t="s">
        <v>72</v>
      </c>
      <c r="F32" s="135" t="s">
        <v>168</v>
      </c>
      <c r="G32" s="135">
        <f>+I32*J32</f>
        <v>9240</v>
      </c>
      <c r="H32" s="369" t="s">
        <v>88</v>
      </c>
      <c r="I32" s="132">
        <v>420</v>
      </c>
      <c r="J32" s="132">
        <v>22</v>
      </c>
      <c r="K32" s="132"/>
      <c r="L32" s="132"/>
      <c r="M32" s="135"/>
      <c r="N32" s="134"/>
      <c r="O32" s="135"/>
      <c r="P32" s="135">
        <f>ROUND(G32*3%,0)</f>
        <v>277</v>
      </c>
      <c r="Q32" s="135"/>
      <c r="R32" s="135">
        <f t="shared" si="1"/>
        <v>8963</v>
      </c>
      <c r="S32" s="128">
        <f t="shared" si="2"/>
        <v>277</v>
      </c>
      <c r="T32" s="135"/>
    </row>
    <row r="33" spans="1:20" s="368" customFormat="1" ht="21.75">
      <c r="A33" s="121">
        <v>27</v>
      </c>
      <c r="B33" s="140" t="s">
        <v>94</v>
      </c>
      <c r="C33" s="137">
        <v>6016200526744</v>
      </c>
      <c r="D33" s="137">
        <v>991016244128</v>
      </c>
      <c r="E33" s="132" t="s">
        <v>95</v>
      </c>
      <c r="F33" s="135" t="s">
        <v>168</v>
      </c>
      <c r="G33" s="135">
        <f>I33*J33</f>
        <v>8160</v>
      </c>
      <c r="H33" s="369" t="s">
        <v>96</v>
      </c>
      <c r="I33" s="132">
        <v>340</v>
      </c>
      <c r="J33" s="132">
        <v>24</v>
      </c>
      <c r="K33" s="132"/>
      <c r="L33" s="132"/>
      <c r="M33" s="135"/>
      <c r="N33" s="134"/>
      <c r="O33" s="135"/>
      <c r="P33" s="135">
        <f t="shared" ref="P33:P38" si="3">ROUND(G33*3%,0)</f>
        <v>245</v>
      </c>
      <c r="Q33" s="135"/>
      <c r="R33" s="135">
        <f t="shared" si="1"/>
        <v>7915</v>
      </c>
      <c r="S33" s="128">
        <f t="shared" si="2"/>
        <v>245</v>
      </c>
      <c r="T33" s="135"/>
    </row>
    <row r="34" spans="1:20" s="368" customFormat="1" ht="21.75">
      <c r="A34" s="121">
        <v>28</v>
      </c>
      <c r="B34" s="140" t="s">
        <v>97</v>
      </c>
      <c r="C34" s="137">
        <v>6016200526680</v>
      </c>
      <c r="D34" s="137">
        <v>991016243920</v>
      </c>
      <c r="E34" s="132" t="s">
        <v>95</v>
      </c>
      <c r="F34" s="135" t="s">
        <v>168</v>
      </c>
      <c r="G34" s="135">
        <f t="shared" ref="G34:G38" si="4">I34*J34</f>
        <v>8160</v>
      </c>
      <c r="H34" s="369" t="s">
        <v>96</v>
      </c>
      <c r="I34" s="132">
        <v>340</v>
      </c>
      <c r="J34" s="132">
        <v>24</v>
      </c>
      <c r="K34" s="132"/>
      <c r="L34" s="132"/>
      <c r="M34" s="135"/>
      <c r="N34" s="134"/>
      <c r="O34" s="135"/>
      <c r="P34" s="135">
        <f t="shared" si="3"/>
        <v>245</v>
      </c>
      <c r="Q34" s="135"/>
      <c r="R34" s="135">
        <f t="shared" si="1"/>
        <v>7915</v>
      </c>
      <c r="S34" s="128">
        <f t="shared" si="2"/>
        <v>245</v>
      </c>
      <c r="T34" s="135"/>
    </row>
    <row r="35" spans="1:20" s="368" customFormat="1" ht="21.75">
      <c r="A35" s="121">
        <v>29</v>
      </c>
      <c r="B35" s="140" t="s">
        <v>98</v>
      </c>
      <c r="C35" s="137">
        <v>6016200526639</v>
      </c>
      <c r="D35" s="137">
        <v>991016243091</v>
      </c>
      <c r="E35" s="132" t="s">
        <v>95</v>
      </c>
      <c r="F35" s="135" t="s">
        <v>168</v>
      </c>
      <c r="G35" s="135">
        <f t="shared" si="4"/>
        <v>8160</v>
      </c>
      <c r="H35" s="369" t="s">
        <v>96</v>
      </c>
      <c r="I35" s="132">
        <v>340</v>
      </c>
      <c r="J35" s="132">
        <v>24</v>
      </c>
      <c r="K35" s="132"/>
      <c r="L35" s="132"/>
      <c r="M35" s="135"/>
      <c r="N35" s="134"/>
      <c r="O35" s="135"/>
      <c r="P35" s="135">
        <f t="shared" si="3"/>
        <v>245</v>
      </c>
      <c r="Q35" s="135"/>
      <c r="R35" s="135">
        <f t="shared" si="1"/>
        <v>7915</v>
      </c>
      <c r="S35" s="128">
        <f t="shared" si="2"/>
        <v>245</v>
      </c>
      <c r="T35" s="135"/>
    </row>
    <row r="36" spans="1:20" s="368" customFormat="1" ht="21.75">
      <c r="A36" s="121">
        <v>30</v>
      </c>
      <c r="B36" s="140" t="s">
        <v>99</v>
      </c>
      <c r="C36" s="137">
        <v>6016200526591</v>
      </c>
      <c r="D36" s="137">
        <v>991016242486</v>
      </c>
      <c r="E36" s="132" t="s">
        <v>95</v>
      </c>
      <c r="F36" s="135" t="s">
        <v>168</v>
      </c>
      <c r="G36" s="135">
        <f t="shared" si="4"/>
        <v>8160</v>
      </c>
      <c r="H36" s="369" t="s">
        <v>96</v>
      </c>
      <c r="I36" s="132">
        <v>340</v>
      </c>
      <c r="J36" s="132">
        <v>24</v>
      </c>
      <c r="K36" s="132"/>
      <c r="L36" s="132"/>
      <c r="M36" s="135"/>
      <c r="N36" s="134"/>
      <c r="O36" s="135"/>
      <c r="P36" s="135">
        <f t="shared" si="3"/>
        <v>245</v>
      </c>
      <c r="Q36" s="135"/>
      <c r="R36" s="135">
        <f t="shared" si="1"/>
        <v>7915</v>
      </c>
      <c r="S36" s="128">
        <f t="shared" si="2"/>
        <v>245</v>
      </c>
      <c r="T36" s="135"/>
    </row>
    <row r="37" spans="1:20" s="368" customFormat="1" ht="21.75">
      <c r="A37" s="121">
        <v>31</v>
      </c>
      <c r="B37" s="131" t="s">
        <v>108</v>
      </c>
      <c r="C37" s="132" t="s">
        <v>109</v>
      </c>
      <c r="D37" s="137">
        <v>1229900526551</v>
      </c>
      <c r="E37" s="132" t="s">
        <v>72</v>
      </c>
      <c r="F37" s="135" t="s">
        <v>168</v>
      </c>
      <c r="G37" s="135">
        <f t="shared" si="4"/>
        <v>7480</v>
      </c>
      <c r="H37" s="133" t="s">
        <v>107</v>
      </c>
      <c r="I37" s="132">
        <v>440</v>
      </c>
      <c r="J37" s="132">
        <v>17</v>
      </c>
      <c r="K37" s="132"/>
      <c r="L37" s="132"/>
      <c r="M37" s="135"/>
      <c r="N37" s="134"/>
      <c r="O37" s="135"/>
      <c r="P37" s="135">
        <f t="shared" si="3"/>
        <v>224</v>
      </c>
      <c r="Q37" s="135"/>
      <c r="R37" s="135">
        <f t="shared" si="1"/>
        <v>7256</v>
      </c>
      <c r="S37" s="128">
        <f t="shared" si="2"/>
        <v>224</v>
      </c>
      <c r="T37" s="135"/>
    </row>
    <row r="38" spans="1:20" s="368" customFormat="1" ht="21.75">
      <c r="A38" s="121">
        <v>32</v>
      </c>
      <c r="B38" s="131" t="s">
        <v>112</v>
      </c>
      <c r="C38" s="137">
        <v>6016300837709</v>
      </c>
      <c r="D38" s="137">
        <v>991019747724</v>
      </c>
      <c r="E38" s="132" t="s">
        <v>95</v>
      </c>
      <c r="F38" s="135" t="s">
        <v>168</v>
      </c>
      <c r="G38" s="135">
        <f t="shared" si="4"/>
        <v>8160</v>
      </c>
      <c r="H38" s="133" t="s">
        <v>111</v>
      </c>
      <c r="I38" s="132">
        <v>340</v>
      </c>
      <c r="J38" s="132">
        <v>24</v>
      </c>
      <c r="K38" s="132"/>
      <c r="L38" s="132"/>
      <c r="M38" s="135"/>
      <c r="N38" s="134"/>
      <c r="O38" s="135"/>
      <c r="P38" s="135">
        <f t="shared" si="3"/>
        <v>245</v>
      </c>
      <c r="Q38" s="135"/>
      <c r="R38" s="135">
        <f t="shared" si="1"/>
        <v>7915</v>
      </c>
      <c r="S38" s="128">
        <f t="shared" si="2"/>
        <v>245</v>
      </c>
      <c r="T38" s="135"/>
    </row>
    <row r="39" spans="1:20" ht="21.75">
      <c r="A39" s="117">
        <v>33</v>
      </c>
      <c r="B39" s="106" t="s">
        <v>100</v>
      </c>
      <c r="C39" s="111">
        <v>1101500149087</v>
      </c>
      <c r="D39" s="97">
        <v>1101500149087</v>
      </c>
      <c r="E39" s="107" t="s">
        <v>44</v>
      </c>
      <c r="F39" s="198" t="s">
        <v>168</v>
      </c>
      <c r="G39" s="103">
        <v>25000</v>
      </c>
      <c r="H39" s="112" t="s">
        <v>101</v>
      </c>
      <c r="I39" s="107"/>
      <c r="J39" s="107"/>
      <c r="K39" s="107"/>
      <c r="L39" s="107"/>
      <c r="M39" s="103"/>
      <c r="N39" s="109"/>
      <c r="O39" s="103"/>
      <c r="P39" s="103">
        <v>450</v>
      </c>
      <c r="Q39" s="98"/>
      <c r="R39" s="103">
        <f t="shared" si="1"/>
        <v>24550</v>
      </c>
      <c r="S39" s="116">
        <f t="shared" si="2"/>
        <v>450</v>
      </c>
      <c r="T39" s="100"/>
    </row>
    <row r="40" spans="1:20" s="368" customFormat="1" ht="21.75">
      <c r="A40" s="121">
        <v>34</v>
      </c>
      <c r="B40" s="140" t="s">
        <v>102</v>
      </c>
      <c r="C40" s="137">
        <v>6016201374921</v>
      </c>
      <c r="D40" s="137">
        <v>991017408884</v>
      </c>
      <c r="E40" s="132" t="s">
        <v>95</v>
      </c>
      <c r="F40" s="135" t="s">
        <v>168</v>
      </c>
      <c r="G40" s="135">
        <f>+I40*J40</f>
        <v>8160</v>
      </c>
      <c r="H40" s="133" t="s">
        <v>106</v>
      </c>
      <c r="I40" s="132">
        <v>340</v>
      </c>
      <c r="J40" s="132">
        <v>24</v>
      </c>
      <c r="K40" s="132"/>
      <c r="L40" s="132"/>
      <c r="M40" s="135"/>
      <c r="N40" s="134"/>
      <c r="O40" s="135"/>
      <c r="P40" s="135">
        <f>ROUND(G40*3%,0)</f>
        <v>245</v>
      </c>
      <c r="Q40" s="135"/>
      <c r="R40" s="135">
        <f t="shared" si="1"/>
        <v>7915</v>
      </c>
      <c r="S40" s="128">
        <f t="shared" si="2"/>
        <v>245</v>
      </c>
      <c r="T40" s="135"/>
    </row>
    <row r="41" spans="1:20" ht="21.75">
      <c r="A41" s="117">
        <v>35</v>
      </c>
      <c r="B41" s="96" t="s">
        <v>118</v>
      </c>
      <c r="C41" s="97">
        <v>1229900643638</v>
      </c>
      <c r="D41" s="97">
        <v>1229900643638</v>
      </c>
      <c r="E41" s="95" t="s">
        <v>44</v>
      </c>
      <c r="F41" s="248" t="s">
        <v>168</v>
      </c>
      <c r="G41" s="98">
        <v>25000</v>
      </c>
      <c r="H41" s="99" t="s">
        <v>119</v>
      </c>
      <c r="I41" s="95"/>
      <c r="J41" s="95"/>
      <c r="K41" s="95"/>
      <c r="L41" s="107"/>
      <c r="M41" s="98"/>
      <c r="N41" s="115"/>
      <c r="O41" s="98"/>
      <c r="P41" s="103">
        <v>450</v>
      </c>
      <c r="Q41" s="98"/>
      <c r="R41" s="103">
        <f t="shared" si="1"/>
        <v>24550</v>
      </c>
      <c r="S41" s="116">
        <f t="shared" si="2"/>
        <v>450</v>
      </c>
      <c r="T41" s="100"/>
    </row>
    <row r="42" spans="1:20" ht="21.75">
      <c r="A42" s="117">
        <v>36</v>
      </c>
      <c r="B42" s="96" t="s">
        <v>120</v>
      </c>
      <c r="C42" s="97">
        <v>3402000037896</v>
      </c>
      <c r="D42" s="97">
        <v>3402000037896</v>
      </c>
      <c r="E42" s="95" t="s">
        <v>44</v>
      </c>
      <c r="F42" s="248" t="s">
        <v>168</v>
      </c>
      <c r="G42" s="98">
        <v>25000</v>
      </c>
      <c r="H42" s="99" t="s">
        <v>119</v>
      </c>
      <c r="I42" s="95"/>
      <c r="J42" s="95"/>
      <c r="K42" s="95"/>
      <c r="L42" s="107"/>
      <c r="M42" s="98"/>
      <c r="N42" s="115"/>
      <c r="O42" s="98"/>
      <c r="P42" s="103">
        <v>450</v>
      </c>
      <c r="Q42" s="98"/>
      <c r="R42" s="103">
        <f t="shared" si="1"/>
        <v>24550</v>
      </c>
      <c r="S42" s="116">
        <f t="shared" si="2"/>
        <v>450</v>
      </c>
      <c r="T42" s="100"/>
    </row>
    <row r="43" spans="1:20" ht="21.75">
      <c r="A43" s="117">
        <v>37</v>
      </c>
      <c r="B43" s="96" t="s">
        <v>121</v>
      </c>
      <c r="C43" s="97">
        <v>3341600658671</v>
      </c>
      <c r="D43" s="97">
        <v>3341600658671</v>
      </c>
      <c r="E43" s="95" t="s">
        <v>44</v>
      </c>
      <c r="F43" s="248" t="s">
        <v>168</v>
      </c>
      <c r="G43" s="98">
        <v>25000</v>
      </c>
      <c r="H43" s="99" t="s">
        <v>119</v>
      </c>
      <c r="I43" s="95"/>
      <c r="J43" s="95"/>
      <c r="K43" s="95"/>
      <c r="L43" s="107"/>
      <c r="M43" s="98"/>
      <c r="N43" s="115"/>
      <c r="O43" s="98"/>
      <c r="P43" s="103">
        <v>450</v>
      </c>
      <c r="Q43" s="98"/>
      <c r="R43" s="103">
        <f t="shared" si="1"/>
        <v>24550</v>
      </c>
      <c r="S43" s="116">
        <f t="shared" si="2"/>
        <v>450</v>
      </c>
      <c r="T43" s="100"/>
    </row>
    <row r="44" spans="1:20" ht="21.75">
      <c r="A44" s="117">
        <v>38</v>
      </c>
      <c r="B44" s="96" t="s">
        <v>122</v>
      </c>
      <c r="C44" s="97">
        <v>3930100204585</v>
      </c>
      <c r="D44" s="97">
        <v>3930100204585</v>
      </c>
      <c r="E44" s="95" t="s">
        <v>19</v>
      </c>
      <c r="F44" s="353" t="s">
        <v>169</v>
      </c>
      <c r="G44" s="98">
        <v>16500</v>
      </c>
      <c r="H44" s="99" t="s">
        <v>119</v>
      </c>
      <c r="I44" s="95"/>
      <c r="J44" s="95"/>
      <c r="K44" s="95"/>
      <c r="L44" s="107"/>
      <c r="M44" s="98"/>
      <c r="N44" s="115"/>
      <c r="O44" s="98"/>
      <c r="P44" s="103">
        <v>450</v>
      </c>
      <c r="Q44" s="98"/>
      <c r="R44" s="103">
        <f t="shared" si="1"/>
        <v>16050</v>
      </c>
      <c r="S44" s="116">
        <f t="shared" si="2"/>
        <v>450</v>
      </c>
      <c r="T44" s="100"/>
    </row>
    <row r="45" spans="1:20" s="368" customFormat="1" ht="21.75">
      <c r="A45" s="121">
        <v>39</v>
      </c>
      <c r="B45" s="141" t="s">
        <v>138</v>
      </c>
      <c r="C45" s="142">
        <v>1461000135963</v>
      </c>
      <c r="D45" s="137">
        <v>1461000135963</v>
      </c>
      <c r="E45" s="143" t="s">
        <v>95</v>
      </c>
      <c r="F45" s="128" t="s">
        <v>168</v>
      </c>
      <c r="G45" s="128">
        <f>I45*J45</f>
        <v>8280</v>
      </c>
      <c r="H45" s="144" t="s">
        <v>139</v>
      </c>
      <c r="I45" s="143">
        <v>360</v>
      </c>
      <c r="J45" s="143">
        <v>23</v>
      </c>
      <c r="K45" s="143"/>
      <c r="L45" s="132"/>
      <c r="M45" s="128"/>
      <c r="N45" s="145"/>
      <c r="O45" s="128"/>
      <c r="P45" s="135">
        <f>ROUND(G45*3%,0)</f>
        <v>248</v>
      </c>
      <c r="Q45" s="128"/>
      <c r="R45" s="135">
        <f t="shared" si="1"/>
        <v>8032</v>
      </c>
      <c r="S45" s="128">
        <f t="shared" si="2"/>
        <v>248</v>
      </c>
      <c r="T45" s="135"/>
    </row>
    <row r="46" spans="1:20" ht="21.75">
      <c r="A46" s="117">
        <v>40</v>
      </c>
      <c r="B46" s="180" t="s">
        <v>163</v>
      </c>
      <c r="C46" s="181">
        <v>6016100144033</v>
      </c>
      <c r="D46" s="97">
        <v>239989001934</v>
      </c>
      <c r="E46" s="182" t="s">
        <v>32</v>
      </c>
      <c r="F46" s="352" t="s">
        <v>169</v>
      </c>
      <c r="G46" s="116">
        <v>26000</v>
      </c>
      <c r="H46" s="99" t="s">
        <v>164</v>
      </c>
      <c r="I46" s="95"/>
      <c r="J46" s="95"/>
      <c r="K46" s="183"/>
      <c r="L46" s="107"/>
      <c r="M46" s="185"/>
      <c r="N46" s="115"/>
      <c r="O46" s="185"/>
      <c r="P46" s="103">
        <v>450</v>
      </c>
      <c r="Q46" s="116"/>
      <c r="R46" s="103">
        <f t="shared" si="1"/>
        <v>25550</v>
      </c>
      <c r="S46" s="116">
        <f t="shared" si="2"/>
        <v>450</v>
      </c>
      <c r="T46" s="100"/>
    </row>
    <row r="47" spans="1:20" s="368" customFormat="1" ht="21.75">
      <c r="A47" s="121">
        <v>41</v>
      </c>
      <c r="B47" s="141" t="s">
        <v>192</v>
      </c>
      <c r="C47" s="137">
        <v>1499900366870</v>
      </c>
      <c r="D47" s="142">
        <v>1499900366870</v>
      </c>
      <c r="E47" s="143" t="s">
        <v>72</v>
      </c>
      <c r="F47" s="128" t="s">
        <v>168</v>
      </c>
      <c r="G47" s="128">
        <f>I47*J47</f>
        <v>7350</v>
      </c>
      <c r="H47" s="144" t="s">
        <v>194</v>
      </c>
      <c r="I47" s="143">
        <v>350</v>
      </c>
      <c r="J47" s="143">
        <v>21</v>
      </c>
      <c r="K47" s="143"/>
      <c r="L47" s="132"/>
      <c r="M47" s="128"/>
      <c r="N47" s="145"/>
      <c r="O47" s="128"/>
      <c r="P47" s="135">
        <f>ROUND(G47*3%,0)</f>
        <v>221</v>
      </c>
      <c r="Q47" s="128"/>
      <c r="R47" s="135">
        <f t="shared" si="1"/>
        <v>7129</v>
      </c>
      <c r="S47" s="128">
        <f t="shared" si="2"/>
        <v>221</v>
      </c>
      <c r="T47" s="135"/>
    </row>
    <row r="48" spans="1:20" ht="21.75">
      <c r="A48" s="117">
        <v>42</v>
      </c>
      <c r="B48" s="180" t="s">
        <v>226</v>
      </c>
      <c r="C48" s="97" t="s">
        <v>227</v>
      </c>
      <c r="D48" s="97" t="s">
        <v>227</v>
      </c>
      <c r="E48" s="182" t="s">
        <v>32</v>
      </c>
      <c r="F48" s="357" t="s">
        <v>169</v>
      </c>
      <c r="G48" s="116">
        <v>12000</v>
      </c>
      <c r="H48" s="347" t="s">
        <v>229</v>
      </c>
      <c r="I48" s="182"/>
      <c r="J48" s="182"/>
      <c r="K48" s="182"/>
      <c r="L48" s="107"/>
      <c r="M48" s="116"/>
      <c r="N48" s="348"/>
      <c r="O48" s="116"/>
      <c r="P48" s="98">
        <f t="shared" ref="P48:P49" si="5">ROUND(G48*3%,0)</f>
        <v>360</v>
      </c>
      <c r="Q48" s="116"/>
      <c r="R48" s="103">
        <f t="shared" si="1"/>
        <v>11640</v>
      </c>
      <c r="S48" s="116">
        <f t="shared" si="2"/>
        <v>360</v>
      </c>
      <c r="T48" s="103" t="s">
        <v>244</v>
      </c>
    </row>
    <row r="49" spans="1:20" ht="21.75">
      <c r="A49" s="117">
        <v>43</v>
      </c>
      <c r="B49" s="180" t="s">
        <v>225</v>
      </c>
      <c r="C49" s="107" t="s">
        <v>228</v>
      </c>
      <c r="D49" s="107" t="s">
        <v>228</v>
      </c>
      <c r="E49" s="182" t="s">
        <v>32</v>
      </c>
      <c r="F49" s="357" t="s">
        <v>169</v>
      </c>
      <c r="G49" s="116">
        <v>12000</v>
      </c>
      <c r="H49" s="347" t="s">
        <v>230</v>
      </c>
      <c r="I49" s="182"/>
      <c r="J49" s="182"/>
      <c r="K49" s="182"/>
      <c r="L49" s="107"/>
      <c r="M49" s="116"/>
      <c r="N49" s="348"/>
      <c r="O49" s="116"/>
      <c r="P49" s="98">
        <f t="shared" si="5"/>
        <v>360</v>
      </c>
      <c r="Q49" s="116"/>
      <c r="R49" s="103">
        <f t="shared" si="1"/>
        <v>11640</v>
      </c>
      <c r="S49" s="116">
        <f t="shared" si="2"/>
        <v>360</v>
      </c>
      <c r="T49" s="103"/>
    </row>
    <row r="50" spans="1:20" ht="21.75">
      <c r="A50" s="117">
        <v>44</v>
      </c>
      <c r="B50" s="180" t="s">
        <v>236</v>
      </c>
      <c r="C50" s="107" t="s">
        <v>238</v>
      </c>
      <c r="D50" s="107" t="s">
        <v>238</v>
      </c>
      <c r="E50" s="182" t="s">
        <v>44</v>
      </c>
      <c r="F50" s="128" t="s">
        <v>168</v>
      </c>
      <c r="G50" s="116">
        <v>25000</v>
      </c>
      <c r="H50" s="347" t="s">
        <v>237</v>
      </c>
      <c r="I50" s="182"/>
      <c r="J50" s="182"/>
      <c r="K50" s="182"/>
      <c r="L50" s="358"/>
      <c r="M50" s="116"/>
      <c r="N50" s="184"/>
      <c r="O50" s="116"/>
      <c r="P50" s="116">
        <v>450</v>
      </c>
      <c r="Q50" s="116"/>
      <c r="R50" s="359">
        <f t="shared" si="1"/>
        <v>24550</v>
      </c>
      <c r="S50" s="116">
        <f t="shared" si="2"/>
        <v>450</v>
      </c>
      <c r="T50" s="103" t="s">
        <v>244</v>
      </c>
    </row>
    <row r="51" spans="1:20" s="360" customFormat="1" ht="21.75">
      <c r="A51" s="337">
        <v>45</v>
      </c>
      <c r="B51" s="338" t="s">
        <v>241</v>
      </c>
      <c r="C51" s="100" t="s">
        <v>242</v>
      </c>
      <c r="D51" s="100" t="s">
        <v>242</v>
      </c>
      <c r="E51" s="341" t="s">
        <v>32</v>
      </c>
      <c r="F51" s="370" t="s">
        <v>169</v>
      </c>
      <c r="G51" s="342">
        <f>+I51*J51</f>
        <v>6500</v>
      </c>
      <c r="H51" s="343" t="s">
        <v>243</v>
      </c>
      <c r="I51" s="341">
        <v>500</v>
      </c>
      <c r="J51" s="341">
        <v>13</v>
      </c>
      <c r="K51" s="341"/>
      <c r="L51" s="341"/>
      <c r="M51" s="342"/>
      <c r="N51" s="371"/>
      <c r="O51" s="342"/>
      <c r="P51" s="102">
        <f>ROUND(G51*3%,0)</f>
        <v>195</v>
      </c>
      <c r="Q51" s="342"/>
      <c r="R51" s="342">
        <f t="shared" si="1"/>
        <v>6305</v>
      </c>
      <c r="S51" s="342">
        <f t="shared" si="2"/>
        <v>195</v>
      </c>
      <c r="T51" s="342" t="s">
        <v>245</v>
      </c>
    </row>
    <row r="52" spans="1:20" ht="22.5" thickBot="1">
      <c r="A52" s="402" t="s">
        <v>103</v>
      </c>
      <c r="B52" s="402"/>
      <c r="C52" s="402"/>
      <c r="D52" s="402"/>
      <c r="E52" s="402"/>
      <c r="F52" s="402"/>
      <c r="G52" s="89">
        <f>SUM(G7:G51)</f>
        <v>797120</v>
      </c>
      <c r="H52" s="75"/>
      <c r="I52" s="75"/>
      <c r="J52" s="75"/>
      <c r="K52" s="89">
        <f>SUM(K7:K49)</f>
        <v>0</v>
      </c>
      <c r="L52" s="89">
        <f>SUM(L7:L49)</f>
        <v>0</v>
      </c>
      <c r="M52" s="89">
        <f>SUM(M7:M49)</f>
        <v>0</v>
      </c>
      <c r="N52" s="87"/>
      <c r="O52" s="87"/>
      <c r="P52" s="89">
        <f>SUM(P7:P51)</f>
        <v>17410</v>
      </c>
      <c r="Q52" s="89">
        <f>SUM(Q7:Q51)</f>
        <v>1510</v>
      </c>
      <c r="R52" s="89">
        <f>SUM(R7:R51)</f>
        <v>778200</v>
      </c>
      <c r="S52" s="89">
        <f>SUM(S7:S51)</f>
        <v>17410</v>
      </c>
      <c r="T52" s="310"/>
    </row>
    <row r="53" spans="1:20" ht="23.25" thickTop="1" thickBot="1">
      <c r="A53" s="119"/>
      <c r="B53" s="3"/>
      <c r="C53" s="3"/>
      <c r="D53" s="49"/>
      <c r="E53" s="3"/>
      <c r="F53" s="3"/>
      <c r="G53" s="39"/>
      <c r="H53" s="39"/>
      <c r="I53" s="39"/>
      <c r="J53" s="39"/>
      <c r="K53" s="39"/>
      <c r="L53" s="39"/>
      <c r="M53" s="39"/>
      <c r="N53" s="331"/>
      <c r="O53" s="331"/>
      <c r="P53" s="39"/>
      <c r="Q53" s="166"/>
      <c r="R53" s="39"/>
      <c r="S53" s="76"/>
      <c r="T53" s="5"/>
    </row>
    <row r="54" spans="1:20" ht="38.25" customHeight="1" thickBot="1">
      <c r="A54" s="119"/>
      <c r="B54" s="50" t="s">
        <v>12</v>
      </c>
      <c r="C54" s="3"/>
      <c r="D54" s="49"/>
      <c r="E54" s="3"/>
      <c r="F54" s="3"/>
      <c r="G54" s="39"/>
      <c r="H54" s="156" t="s">
        <v>145</v>
      </c>
      <c r="I54" s="39"/>
      <c r="J54" s="39"/>
      <c r="K54" s="39"/>
      <c r="L54" s="1"/>
      <c r="M54" s="94"/>
      <c r="N54" s="1"/>
      <c r="O54" s="1"/>
      <c r="P54" s="303" t="s">
        <v>158</v>
      </c>
      <c r="Q54" s="153" t="s">
        <v>159</v>
      </c>
      <c r="R54" s="153" t="s">
        <v>190</v>
      </c>
      <c r="S54" s="164" t="s">
        <v>150</v>
      </c>
      <c r="T54" s="153" t="s">
        <v>11</v>
      </c>
    </row>
    <row r="55" spans="1:20" ht="21.75">
      <c r="A55" s="119"/>
      <c r="B55" s="52" t="s">
        <v>156</v>
      </c>
      <c r="C55" s="149"/>
      <c r="D55" s="149"/>
      <c r="E55" s="54" t="s">
        <v>142</v>
      </c>
      <c r="F55" s="54"/>
      <c r="G55" s="55" t="s">
        <v>140</v>
      </c>
      <c r="H55" s="366" t="s">
        <v>141</v>
      </c>
      <c r="I55" s="170">
        <v>12</v>
      </c>
      <c r="J55" s="171" t="s">
        <v>142</v>
      </c>
      <c r="K55" s="148"/>
      <c r="L55" s="1"/>
      <c r="M55" s="94"/>
      <c r="N55" s="1"/>
      <c r="O55" s="1"/>
      <c r="P55" s="16">
        <f>+G26+G27+G32+G33+G34+G35+G36+G37+G38+G40+G45+G47</f>
        <v>100820</v>
      </c>
      <c r="Q55" s="16">
        <f>+P26+P27+P32+P33+P34+P35+P36+P37+P38+P40+P45+P47</f>
        <v>3025</v>
      </c>
      <c r="R55" s="16">
        <f>+M26+M27+M32+M33+M34+M35+M36+M38+M40+M45+M49</f>
        <v>0</v>
      </c>
      <c r="S55" s="24">
        <v>0</v>
      </c>
      <c r="T55" s="349">
        <f>+R26+R27+R32+R33+R34+R35+R36+R37+R38+R40+R45+R47</f>
        <v>97795</v>
      </c>
    </row>
    <row r="56" spans="1:20" ht="21.75">
      <c r="A56" s="119"/>
      <c r="B56" s="56" t="s">
        <v>137</v>
      </c>
      <c r="C56" s="372" t="s">
        <v>241</v>
      </c>
      <c r="D56" s="118">
        <v>1</v>
      </c>
      <c r="E56" s="6" t="s">
        <v>142</v>
      </c>
      <c r="F56" s="6">
        <v>243178</v>
      </c>
      <c r="G56" s="190" t="s">
        <v>162</v>
      </c>
      <c r="H56" s="367" t="s">
        <v>144</v>
      </c>
      <c r="I56" s="173">
        <v>33</v>
      </c>
      <c r="J56" s="174" t="s">
        <v>142</v>
      </c>
      <c r="K56" s="148"/>
      <c r="L56" s="1"/>
      <c r="M56" s="94"/>
      <c r="N56" s="1"/>
      <c r="O56" s="1"/>
      <c r="P56" s="16">
        <f>G7+G8+G9+G10+G11+G12+G13+G14+G15+G16+G17+G18+G19+G20+G21+G22+G23+G24+G25+G28+G29+G30+G31+G39+G41+G42+G43+G44+G46+G48+G49+G50+G51</f>
        <v>696300</v>
      </c>
      <c r="Q56" s="16">
        <f>+P7+P8+P9+P10+P11+P12+P13+P14+P15+P16+P17+P18+P19+P20+P21+P22+P23+P24+P25+P28+P29+P30+P31+P39+P41+P42+P43+P44+P46+P48+P49+P50+P51</f>
        <v>14385</v>
      </c>
      <c r="R56" s="16">
        <f>+M7+M8+M9+M10+M11+M12+M13+M14+M15+M16+M17+M18+M19+M20+M21+M22+M23+M24+M25+M28+M29+M30+M31+M39+M41+M42+M43+M44+M46</f>
        <v>0</v>
      </c>
      <c r="S56" s="24">
        <f>+Q10+Q13</f>
        <v>1510</v>
      </c>
      <c r="T56" s="16">
        <f>+R7+R8+R9+R10+R11+R12+R13+R14+R15+R16+R17+R18+R19+R20+R21+R22+R23+R24+R25+R28+R29+R30+R31+R39+R41+R42+R43+R44+R46+R48+R49+R50+R51</f>
        <v>680405</v>
      </c>
    </row>
    <row r="57" spans="1:20" ht="24.75" thickBot="1">
      <c r="A57" s="119"/>
      <c r="B57" s="419"/>
      <c r="C57" s="420"/>
      <c r="D57" s="300"/>
      <c r="E57" s="187"/>
      <c r="F57" s="187"/>
      <c r="G57" s="188"/>
      <c r="H57" s="189" t="s">
        <v>147</v>
      </c>
      <c r="I57" s="69">
        <f>SUM(I55:I56)</f>
        <v>45</v>
      </c>
      <c r="J57" s="155" t="s">
        <v>142</v>
      </c>
      <c r="K57" s="154"/>
      <c r="L57" s="154"/>
      <c r="M57" s="307"/>
      <c r="N57" s="1"/>
      <c r="O57" s="1"/>
      <c r="P57" s="308">
        <f>SUM(P55:P56)</f>
        <v>797120</v>
      </c>
      <c r="Q57" s="308">
        <f>SUM(Q55:Q56)</f>
        <v>17410</v>
      </c>
      <c r="R57" s="308">
        <f>SUM(R55:R56)</f>
        <v>0</v>
      </c>
      <c r="S57" s="309">
        <f>SUM(S55:S56)</f>
        <v>1510</v>
      </c>
      <c r="T57" s="308">
        <f>SUM(T55:T56)</f>
        <v>778200</v>
      </c>
    </row>
    <row r="58" spans="1:20" ht="24">
      <c r="A58" s="119"/>
      <c r="B58" s="311"/>
      <c r="C58" s="311"/>
      <c r="D58" s="311"/>
      <c r="E58" s="1"/>
      <c r="F58" s="1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B59" s="316"/>
      <c r="C59" s="317"/>
      <c r="D59" s="317"/>
      <c r="E59" s="317"/>
      <c r="F59" s="317"/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">
      <c r="A60" s="119"/>
      <c r="B60" s="316"/>
      <c r="C60" s="7"/>
      <c r="D60" s="345"/>
      <c r="E60" s="316"/>
      <c r="F60" s="356"/>
      <c r="G60" s="1"/>
      <c r="H60" s="312"/>
      <c r="I60" s="313"/>
      <c r="J60" s="66"/>
      <c r="K60" s="154"/>
      <c r="L60" s="154"/>
      <c r="M60" s="307"/>
      <c r="N60" s="1"/>
      <c r="O60" s="1"/>
      <c r="P60" s="314"/>
      <c r="Q60" s="314"/>
      <c r="R60" s="314"/>
      <c r="S60" s="315"/>
      <c r="T60" s="314"/>
    </row>
    <row r="61" spans="1:20" ht="24.75" thickBot="1">
      <c r="A61" s="120"/>
      <c r="B61" s="1"/>
      <c r="C61" s="326"/>
      <c r="D61" s="2"/>
      <c r="E61" s="1"/>
      <c r="F61" s="1"/>
      <c r="G61" s="1"/>
      <c r="H61" s="1"/>
      <c r="I61" s="1"/>
      <c r="J61" s="1"/>
      <c r="K61" s="1"/>
      <c r="L61" s="1"/>
      <c r="M61" s="94"/>
      <c r="N61" s="1"/>
      <c r="O61" s="1"/>
      <c r="P61" s="267">
        <f>+P56</f>
        <v>696300</v>
      </c>
      <c r="Q61" s="168"/>
      <c r="R61" s="1"/>
      <c r="S61" s="76"/>
      <c r="T61" s="1"/>
    </row>
    <row r="62" spans="1:20" ht="22.5" thickBot="1">
      <c r="A62" s="120"/>
      <c r="B62" s="429" t="s">
        <v>214</v>
      </c>
      <c r="C62" s="430"/>
      <c r="D62" s="430"/>
      <c r="E62" s="430"/>
      <c r="F62" s="430"/>
      <c r="G62" s="430"/>
      <c r="H62" s="430"/>
      <c r="I62" s="431"/>
      <c r="J62" s="1"/>
      <c r="K62" s="1"/>
      <c r="L62" s="1"/>
      <c r="M62" s="94"/>
      <c r="N62" s="1"/>
      <c r="O62" s="1"/>
      <c r="P62" s="1">
        <v>8500</v>
      </c>
      <c r="Q62" s="168" t="s">
        <v>251</v>
      </c>
      <c r="R62" s="1"/>
      <c r="S62" s="76"/>
      <c r="T62" s="1"/>
    </row>
    <row r="63" spans="1:20" ht="43.5">
      <c r="B63" s="42" t="s">
        <v>167</v>
      </c>
      <c r="C63" s="42" t="s">
        <v>158</v>
      </c>
      <c r="D63" s="346" t="s">
        <v>170</v>
      </c>
      <c r="E63" s="346" t="s">
        <v>246</v>
      </c>
      <c r="F63" s="346" t="s">
        <v>215</v>
      </c>
      <c r="G63" s="43" t="s">
        <v>150</v>
      </c>
      <c r="H63" s="346" t="s">
        <v>172</v>
      </c>
      <c r="I63" s="346" t="s">
        <v>216</v>
      </c>
      <c r="P63" s="375">
        <f>+G50+G48+G44+G42</f>
        <v>78500</v>
      </c>
      <c r="Q63" t="s">
        <v>252</v>
      </c>
    </row>
    <row r="64" spans="1:20" ht="21.75">
      <c r="B64" s="199" t="s">
        <v>178</v>
      </c>
      <c r="C64" s="197">
        <f>G7+G12+G14+G15+G16+G17+G18+G21+G22+G23+G24+G25+G26+G27+G28+G31+G32+G33+G34+G35+G36+G37+G38+G39+G40+G41+G42+G43+G45+G47+G50</f>
        <v>551620</v>
      </c>
      <c r="D64" s="197">
        <f>S7+S12+S14+S15+S16+S17+S18+S21+S22+S23+S24+S25+S26+S27+S28+S31+S32+S33+S34+S35+S36+S37+S38+S39+S40+S41+S42+S43+S45+S47+S50</f>
        <v>11575</v>
      </c>
      <c r="E64" s="197">
        <f>P7+P12+P14+P15+P16+P17+P18+P21+P22+P23+P24+P25+P26+P27+P28+P31+P32+P33+P34+P35+P36+P37+P38+P39+P40+P41+P42+P43+P45+P47+P50</f>
        <v>11575</v>
      </c>
      <c r="F64" s="197">
        <f>M27+M33+M34+M35+M36+M38+M40+M45</f>
        <v>0</v>
      </c>
      <c r="G64" s="197">
        <v>0</v>
      </c>
      <c r="H64" s="197">
        <f>D64+E64</f>
        <v>23150</v>
      </c>
      <c r="I64" s="197">
        <f>+C64+D64+F64-H64-G64</f>
        <v>540045</v>
      </c>
      <c r="P64" s="375">
        <f>+P61+P62-P63</f>
        <v>626300</v>
      </c>
    </row>
    <row r="65" spans="2:9" ht="21.75">
      <c r="B65" s="191" t="s">
        <v>179</v>
      </c>
      <c r="C65" s="204">
        <f>G8+G9+G10+G11+G13+G19+G20+G29+G30+G44+G46+G48+G49+G51</f>
        <v>245500</v>
      </c>
      <c r="D65" s="204">
        <f>S8+S9+S10+S11+S13+S19+S20+S29+S30+S44+S46+S48+S49+S51</f>
        <v>5835</v>
      </c>
      <c r="E65" s="204">
        <f>P8+P9+P10+P11+P13+P19+P20+P29+P30+P44+P46+P48+P49+P51</f>
        <v>5835</v>
      </c>
      <c r="F65" s="204"/>
      <c r="G65" s="204">
        <f>Q10+Q13</f>
        <v>1510</v>
      </c>
      <c r="H65" s="204">
        <f>D65+E65</f>
        <v>11670</v>
      </c>
      <c r="I65" s="204">
        <f>+C65+D65+F65-H65-G65</f>
        <v>238155</v>
      </c>
    </row>
    <row r="66" spans="2:9" ht="24">
      <c r="B66" s="195" t="s">
        <v>147</v>
      </c>
      <c r="C66" s="233">
        <f t="shared" ref="C66:I66" si="6">SUM(C64:C65)</f>
        <v>797120</v>
      </c>
      <c r="D66" s="233">
        <f t="shared" si="6"/>
        <v>17410</v>
      </c>
      <c r="E66" s="233">
        <f t="shared" si="6"/>
        <v>17410</v>
      </c>
      <c r="F66" s="233">
        <f t="shared" si="6"/>
        <v>0</v>
      </c>
      <c r="G66" s="233">
        <f t="shared" si="6"/>
        <v>1510</v>
      </c>
      <c r="H66" s="233">
        <f t="shared" si="6"/>
        <v>34820</v>
      </c>
      <c r="I66" s="233">
        <f t="shared" si="6"/>
        <v>778200</v>
      </c>
    </row>
  </sheetData>
  <mergeCells count="20"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  <mergeCell ref="A52:F52"/>
    <mergeCell ref="B57:C57"/>
    <mergeCell ref="B62:I62"/>
    <mergeCell ref="H5:H6"/>
    <mergeCell ref="I5:J5"/>
  </mergeCells>
  <phoneticPr fontId="12" type="noConversion"/>
  <pageMargins left="0.7" right="0.7" top="0.75" bottom="0.75" header="0.3" footer="0.3"/>
  <pageSetup paperSize="9" scale="61" fitToHeight="0" orientation="landscape" horizontalDpi="4294967293" verticalDpi="0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DC0F-1D48-42EA-B2A7-0E340F0DA8D2}">
  <sheetPr>
    <pageSetUpPr fitToPage="1"/>
  </sheetPr>
  <dimension ref="A1:T65"/>
  <sheetViews>
    <sheetView zoomScale="90" zoomScaleNormal="90" workbookViewId="0">
      <selection activeCell="I17" sqref="I17"/>
    </sheetView>
  </sheetViews>
  <sheetFormatPr defaultRowHeight="15"/>
  <cols>
    <col min="1" max="1" width="4.42578125" customWidth="1"/>
    <col min="2" max="2" width="22.28515625" customWidth="1"/>
    <col min="3" max="3" width="23.42578125" customWidth="1"/>
    <col min="4" max="4" width="18.28515625" customWidth="1"/>
    <col min="5" max="5" width="15.7109375" customWidth="1"/>
    <col min="6" max="6" width="10.42578125" bestFit="1" customWidth="1"/>
    <col min="7" max="7" width="14.140625" bestFit="1" customWidth="1"/>
    <col min="8" max="8" width="17" customWidth="1"/>
    <col min="9" max="9" width="11.5703125" bestFit="1" customWidth="1"/>
    <col min="11" max="15" width="0" hidden="1" customWidth="1"/>
    <col min="16" max="16" width="11.7109375" bestFit="1" customWidth="1"/>
    <col min="17" max="17" width="13.42578125" customWidth="1"/>
    <col min="18" max="18" width="11.85546875" bestFit="1" customWidth="1"/>
    <col min="19" max="19" width="14" bestFit="1" customWidth="1"/>
    <col min="20" max="20" width="15.85546875" customWidth="1"/>
  </cols>
  <sheetData>
    <row r="1" spans="1:20" ht="21.7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</row>
    <row r="2" spans="1:20" ht="21.75">
      <c r="A2" s="381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</row>
    <row r="3" spans="1:20" ht="21.75">
      <c r="A3" s="381" t="s">
        <v>253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</row>
    <row r="4" spans="1:20" ht="22.5" thickBot="1">
      <c r="A4" s="118"/>
      <c r="B4" s="9"/>
      <c r="C4" s="9"/>
      <c r="D4" s="48"/>
      <c r="E4" s="9"/>
      <c r="F4" s="9"/>
      <c r="G4" s="10"/>
      <c r="H4" s="9"/>
      <c r="I4" s="9"/>
      <c r="J4" s="9"/>
      <c r="K4" s="9"/>
      <c r="L4" s="9"/>
      <c r="M4" s="92"/>
      <c r="N4" s="9"/>
      <c r="O4" s="9"/>
      <c r="P4" s="9"/>
      <c r="Q4" s="163"/>
      <c r="R4" s="9"/>
      <c r="S4" s="76"/>
      <c r="T4" s="9"/>
    </row>
    <row r="5" spans="1:20" ht="21.75">
      <c r="A5" s="414" t="s">
        <v>2</v>
      </c>
      <c r="B5" s="382" t="s">
        <v>3</v>
      </c>
      <c r="C5" s="384" t="s">
        <v>185</v>
      </c>
      <c r="D5" s="422" t="s">
        <v>186</v>
      </c>
      <c r="E5" s="382" t="s">
        <v>5</v>
      </c>
      <c r="F5" s="382" t="s">
        <v>167</v>
      </c>
      <c r="G5" s="386" t="s">
        <v>6</v>
      </c>
      <c r="H5" s="388" t="s">
        <v>7</v>
      </c>
      <c r="I5" s="390" t="s">
        <v>8</v>
      </c>
      <c r="J5" s="391"/>
      <c r="K5" s="392" t="s">
        <v>9</v>
      </c>
      <c r="L5" s="427"/>
      <c r="M5" s="393"/>
      <c r="N5" s="411" t="s">
        <v>10</v>
      </c>
      <c r="O5" s="412"/>
      <c r="P5" s="412"/>
      <c r="Q5" s="413"/>
      <c r="R5" s="395" t="s">
        <v>11</v>
      </c>
      <c r="S5" s="421" t="s">
        <v>149</v>
      </c>
      <c r="T5" s="376" t="s">
        <v>12</v>
      </c>
    </row>
    <row r="6" spans="1:20" ht="65.25">
      <c r="A6" s="415"/>
      <c r="B6" s="383"/>
      <c r="C6" s="385"/>
      <c r="D6" s="423"/>
      <c r="E6" s="383"/>
      <c r="F6" s="383"/>
      <c r="G6" s="387"/>
      <c r="H6" s="389"/>
      <c r="I6" s="11" t="s">
        <v>13</v>
      </c>
      <c r="J6" s="11" t="s">
        <v>14</v>
      </c>
      <c r="K6" s="12" t="s">
        <v>15</v>
      </c>
      <c r="L6" s="327" t="s">
        <v>204</v>
      </c>
      <c r="M6" s="305" t="s">
        <v>190</v>
      </c>
      <c r="N6" s="11" t="s">
        <v>17</v>
      </c>
      <c r="O6" s="11" t="s">
        <v>18</v>
      </c>
      <c r="P6" s="153" t="s">
        <v>124</v>
      </c>
      <c r="Q6" s="164" t="s">
        <v>150</v>
      </c>
      <c r="R6" s="396"/>
      <c r="S6" s="421"/>
      <c r="T6" s="428"/>
    </row>
    <row r="7" spans="1:20" ht="21.75">
      <c r="A7" s="117">
        <v>1</v>
      </c>
      <c r="B7" s="106" t="s">
        <v>20</v>
      </c>
      <c r="C7" s="107" t="s">
        <v>21</v>
      </c>
      <c r="D7" s="97">
        <v>1361200122408</v>
      </c>
      <c r="E7" s="107" t="s">
        <v>22</v>
      </c>
      <c r="F7" s="198" t="s">
        <v>168</v>
      </c>
      <c r="G7" s="103">
        <v>16000</v>
      </c>
      <c r="H7" s="107"/>
      <c r="I7" s="107"/>
      <c r="J7" s="107"/>
      <c r="K7" s="107"/>
      <c r="L7" s="107"/>
      <c r="M7" s="103"/>
      <c r="N7" s="109"/>
      <c r="O7" s="103"/>
      <c r="P7" s="98">
        <v>450</v>
      </c>
      <c r="Q7" s="98"/>
      <c r="R7" s="103">
        <f>SUM(G7+M7-P7-Q7)</f>
        <v>15550</v>
      </c>
      <c r="S7" s="116">
        <f>P7</f>
        <v>450</v>
      </c>
      <c r="T7" s="100"/>
    </row>
    <row r="8" spans="1:20" ht="21.75">
      <c r="A8" s="117">
        <v>2</v>
      </c>
      <c r="B8" s="106" t="s">
        <v>23</v>
      </c>
      <c r="C8" s="107" t="s">
        <v>24</v>
      </c>
      <c r="D8" s="97">
        <v>1330400305076</v>
      </c>
      <c r="E8" s="107" t="s">
        <v>19</v>
      </c>
      <c r="F8" s="354" t="s">
        <v>169</v>
      </c>
      <c r="G8" s="103">
        <v>14500</v>
      </c>
      <c r="H8" s="107"/>
      <c r="I8" s="107"/>
      <c r="J8" s="107"/>
      <c r="K8" s="107"/>
      <c r="L8" s="107"/>
      <c r="M8" s="103"/>
      <c r="N8" s="109"/>
      <c r="O8" s="103"/>
      <c r="P8" s="98">
        <f t="shared" ref="P8:P9" si="0">ROUND(G8*3%,0)</f>
        <v>435</v>
      </c>
      <c r="Q8" s="98"/>
      <c r="R8" s="103">
        <f t="shared" ref="R8:R45" si="1">SUM(G8+M8-P8-Q8)</f>
        <v>14065</v>
      </c>
      <c r="S8" s="116">
        <f t="shared" ref="S8:S45" si="2">P8</f>
        <v>435</v>
      </c>
      <c r="T8" s="100"/>
    </row>
    <row r="9" spans="1:20" ht="21.75">
      <c r="A9" s="117">
        <v>3</v>
      </c>
      <c r="B9" s="106" t="s">
        <v>25</v>
      </c>
      <c r="C9" s="107" t="s">
        <v>26</v>
      </c>
      <c r="D9" s="97">
        <v>3501100282050</v>
      </c>
      <c r="E9" s="107" t="s">
        <v>27</v>
      </c>
      <c r="F9" s="354" t="s">
        <v>169</v>
      </c>
      <c r="G9" s="103">
        <v>14500</v>
      </c>
      <c r="H9" s="107"/>
      <c r="I9" s="107"/>
      <c r="J9" s="107"/>
      <c r="K9" s="107"/>
      <c r="L9" s="107"/>
      <c r="M9" s="103"/>
      <c r="N9" s="109"/>
      <c r="O9" s="103"/>
      <c r="P9" s="98">
        <f t="shared" si="0"/>
        <v>435</v>
      </c>
      <c r="Q9" s="98"/>
      <c r="R9" s="103">
        <f t="shared" si="1"/>
        <v>14065</v>
      </c>
      <c r="S9" s="116">
        <f t="shared" si="2"/>
        <v>435</v>
      </c>
      <c r="T9" s="100"/>
    </row>
    <row r="10" spans="1:20" ht="21.75">
      <c r="A10" s="117">
        <v>4</v>
      </c>
      <c r="B10" s="106" t="s">
        <v>30</v>
      </c>
      <c r="C10" s="107" t="s">
        <v>31</v>
      </c>
      <c r="D10" s="97">
        <v>1279800007691</v>
      </c>
      <c r="E10" s="107" t="s">
        <v>32</v>
      </c>
      <c r="F10" s="354" t="s">
        <v>169</v>
      </c>
      <c r="G10" s="103">
        <v>17500</v>
      </c>
      <c r="H10" s="107"/>
      <c r="I10" s="107"/>
      <c r="J10" s="107"/>
      <c r="K10" s="107"/>
      <c r="L10" s="107"/>
      <c r="M10" s="103"/>
      <c r="N10" s="109"/>
      <c r="O10" s="103"/>
      <c r="P10" s="98">
        <v>450</v>
      </c>
      <c r="Q10" s="98">
        <v>707</v>
      </c>
      <c r="R10" s="103">
        <f t="shared" si="1"/>
        <v>16343</v>
      </c>
      <c r="S10" s="116">
        <f t="shared" si="2"/>
        <v>450</v>
      </c>
      <c r="T10" s="100"/>
    </row>
    <row r="11" spans="1:20" ht="21.75">
      <c r="A11" s="117">
        <v>5</v>
      </c>
      <c r="B11" s="106" t="s">
        <v>33</v>
      </c>
      <c r="C11" s="107" t="s">
        <v>34</v>
      </c>
      <c r="D11" s="97">
        <v>1229900166783</v>
      </c>
      <c r="E11" s="107" t="s">
        <v>32</v>
      </c>
      <c r="F11" s="354" t="s">
        <v>169</v>
      </c>
      <c r="G11" s="103">
        <v>19000</v>
      </c>
      <c r="H11" s="107"/>
      <c r="I11" s="107"/>
      <c r="J11" s="107"/>
      <c r="K11" s="107"/>
      <c r="L11" s="107"/>
      <c r="M11" s="103"/>
      <c r="N11" s="109"/>
      <c r="O11" s="103"/>
      <c r="P11" s="98">
        <v>450</v>
      </c>
      <c r="Q11" s="98"/>
      <c r="R11" s="103">
        <f t="shared" si="1"/>
        <v>18550</v>
      </c>
      <c r="S11" s="116">
        <f t="shared" si="2"/>
        <v>450</v>
      </c>
      <c r="T11" s="100"/>
    </row>
    <row r="12" spans="1:20" ht="21.75">
      <c r="A12" s="117">
        <v>6</v>
      </c>
      <c r="B12" s="106" t="s">
        <v>35</v>
      </c>
      <c r="C12" s="107" t="s">
        <v>36</v>
      </c>
      <c r="D12" s="97">
        <v>3220200030119</v>
      </c>
      <c r="E12" s="107" t="s">
        <v>37</v>
      </c>
      <c r="F12" s="198" t="s">
        <v>168</v>
      </c>
      <c r="G12" s="103">
        <v>21000</v>
      </c>
      <c r="H12" s="107"/>
      <c r="I12" s="107"/>
      <c r="J12" s="107"/>
      <c r="K12" s="107"/>
      <c r="L12" s="107"/>
      <c r="M12" s="103"/>
      <c r="N12" s="109"/>
      <c r="O12" s="103"/>
      <c r="P12" s="98">
        <v>450</v>
      </c>
      <c r="Q12" s="98"/>
      <c r="R12" s="103">
        <f t="shared" si="1"/>
        <v>20550</v>
      </c>
      <c r="S12" s="116">
        <f t="shared" si="2"/>
        <v>450</v>
      </c>
      <c r="T12" s="100"/>
    </row>
    <row r="13" spans="1:20" ht="21.75">
      <c r="A13" s="117">
        <v>7</v>
      </c>
      <c r="B13" s="106" t="s">
        <v>40</v>
      </c>
      <c r="C13" s="107" t="s">
        <v>41</v>
      </c>
      <c r="D13" s="97">
        <v>1480100132183</v>
      </c>
      <c r="E13" s="107" t="s">
        <v>32</v>
      </c>
      <c r="F13" s="354" t="s">
        <v>169</v>
      </c>
      <c r="G13" s="103">
        <v>23000</v>
      </c>
      <c r="H13" s="107"/>
      <c r="I13" s="107"/>
      <c r="J13" s="107"/>
      <c r="K13" s="107"/>
      <c r="L13" s="107"/>
      <c r="M13" s="103"/>
      <c r="N13" s="109"/>
      <c r="O13" s="103"/>
      <c r="P13" s="98">
        <v>450</v>
      </c>
      <c r="Q13" s="98">
        <v>803</v>
      </c>
      <c r="R13" s="103">
        <f t="shared" si="1"/>
        <v>21747</v>
      </c>
      <c r="S13" s="116">
        <f t="shared" si="2"/>
        <v>450</v>
      </c>
      <c r="T13" s="100"/>
    </row>
    <row r="14" spans="1:20" ht="21.75">
      <c r="A14" s="117">
        <v>8</v>
      </c>
      <c r="B14" s="96" t="s">
        <v>187</v>
      </c>
      <c r="C14" s="107" t="s">
        <v>43</v>
      </c>
      <c r="D14" s="97">
        <v>3220300867304</v>
      </c>
      <c r="E14" s="107" t="s">
        <v>44</v>
      </c>
      <c r="F14" s="198" t="s">
        <v>168</v>
      </c>
      <c r="G14" s="103">
        <v>25000</v>
      </c>
      <c r="H14" s="107"/>
      <c r="I14" s="107"/>
      <c r="J14" s="107"/>
      <c r="K14" s="107"/>
      <c r="L14" s="107"/>
      <c r="M14" s="103"/>
      <c r="N14" s="109"/>
      <c r="O14" s="103"/>
      <c r="P14" s="98">
        <v>450</v>
      </c>
      <c r="Q14" s="98"/>
      <c r="R14" s="103">
        <f t="shared" si="1"/>
        <v>24550</v>
      </c>
      <c r="S14" s="116">
        <f t="shared" si="2"/>
        <v>450</v>
      </c>
      <c r="T14" s="100"/>
    </row>
    <row r="15" spans="1:20" ht="21.75">
      <c r="A15" s="117">
        <v>9</v>
      </c>
      <c r="B15" s="106" t="s">
        <v>45</v>
      </c>
      <c r="C15" s="107" t="s">
        <v>46</v>
      </c>
      <c r="D15" s="97">
        <v>1100800178073</v>
      </c>
      <c r="E15" s="107" t="s">
        <v>44</v>
      </c>
      <c r="F15" s="198" t="s">
        <v>168</v>
      </c>
      <c r="G15" s="103">
        <v>21000</v>
      </c>
      <c r="H15" s="107"/>
      <c r="I15" s="107"/>
      <c r="J15" s="107"/>
      <c r="K15" s="107"/>
      <c r="L15" s="107"/>
      <c r="M15" s="103"/>
      <c r="N15" s="109"/>
      <c r="O15" s="103"/>
      <c r="P15" s="98">
        <v>450</v>
      </c>
      <c r="Q15" s="98"/>
      <c r="R15" s="103">
        <f t="shared" si="1"/>
        <v>20550</v>
      </c>
      <c r="S15" s="116">
        <f t="shared" si="2"/>
        <v>450</v>
      </c>
      <c r="T15" s="100"/>
    </row>
    <row r="16" spans="1:20" ht="21.75">
      <c r="A16" s="117">
        <v>10</v>
      </c>
      <c r="B16" s="106" t="s">
        <v>47</v>
      </c>
      <c r="C16" s="107" t="s">
        <v>48</v>
      </c>
      <c r="D16" s="97">
        <v>1330400064231</v>
      </c>
      <c r="E16" s="107" t="s">
        <v>44</v>
      </c>
      <c r="F16" s="198" t="s">
        <v>168</v>
      </c>
      <c r="G16" s="103">
        <v>19000</v>
      </c>
      <c r="H16" s="107"/>
      <c r="I16" s="107"/>
      <c r="J16" s="107"/>
      <c r="K16" s="107"/>
      <c r="L16" s="107"/>
      <c r="M16" s="103"/>
      <c r="N16" s="109"/>
      <c r="O16" s="103"/>
      <c r="P16" s="98">
        <v>450</v>
      </c>
      <c r="Q16" s="98"/>
      <c r="R16" s="103">
        <f t="shared" si="1"/>
        <v>18550</v>
      </c>
      <c r="S16" s="116">
        <f t="shared" si="2"/>
        <v>450</v>
      </c>
      <c r="T16" s="100"/>
    </row>
    <row r="17" spans="1:20" ht="21.75">
      <c r="A17" s="117">
        <v>11</v>
      </c>
      <c r="B17" s="106" t="s">
        <v>49</v>
      </c>
      <c r="C17" s="107" t="s">
        <v>50</v>
      </c>
      <c r="D17" s="97">
        <v>3220600150995</v>
      </c>
      <c r="E17" s="107" t="s">
        <v>37</v>
      </c>
      <c r="F17" s="198" t="s">
        <v>168</v>
      </c>
      <c r="G17" s="103">
        <v>25000</v>
      </c>
      <c r="H17" s="107"/>
      <c r="I17" s="107"/>
      <c r="J17" s="107"/>
      <c r="K17" s="107"/>
      <c r="L17" s="107"/>
      <c r="M17" s="103"/>
      <c r="N17" s="109"/>
      <c r="O17" s="103"/>
      <c r="P17" s="98">
        <v>450</v>
      </c>
      <c r="Q17" s="98"/>
      <c r="R17" s="103">
        <f t="shared" si="1"/>
        <v>24550</v>
      </c>
      <c r="S17" s="116">
        <f t="shared" si="2"/>
        <v>450</v>
      </c>
      <c r="T17" s="100"/>
    </row>
    <row r="18" spans="1:20" ht="21.75">
      <c r="A18" s="117">
        <v>12</v>
      </c>
      <c r="B18" s="106" t="s">
        <v>51</v>
      </c>
      <c r="C18" s="107" t="s">
        <v>52</v>
      </c>
      <c r="D18" s="97">
        <v>3220600063120</v>
      </c>
      <c r="E18" s="107" t="s">
        <v>44</v>
      </c>
      <c r="F18" s="198" t="s">
        <v>168</v>
      </c>
      <c r="G18" s="103">
        <v>23800</v>
      </c>
      <c r="H18" s="107"/>
      <c r="I18" s="107"/>
      <c r="J18" s="107"/>
      <c r="K18" s="107"/>
      <c r="L18" s="107"/>
      <c r="M18" s="103"/>
      <c r="N18" s="109"/>
      <c r="O18" s="103"/>
      <c r="P18" s="98">
        <v>450</v>
      </c>
      <c r="Q18" s="98"/>
      <c r="R18" s="103">
        <f t="shared" si="1"/>
        <v>23350</v>
      </c>
      <c r="S18" s="116">
        <f t="shared" si="2"/>
        <v>450</v>
      </c>
      <c r="T18" s="100"/>
    </row>
    <row r="19" spans="1:20" ht="21.75">
      <c r="A19" s="117">
        <v>13</v>
      </c>
      <c r="B19" s="106" t="s">
        <v>53</v>
      </c>
      <c r="C19" s="107" t="s">
        <v>54</v>
      </c>
      <c r="D19" s="97">
        <v>1101401444200</v>
      </c>
      <c r="E19" s="107" t="s">
        <v>55</v>
      </c>
      <c r="F19" s="354" t="s">
        <v>169</v>
      </c>
      <c r="G19" s="103">
        <v>25000</v>
      </c>
      <c r="H19" s="107"/>
      <c r="I19" s="107"/>
      <c r="J19" s="107"/>
      <c r="K19" s="107"/>
      <c r="L19" s="107"/>
      <c r="M19" s="103"/>
      <c r="N19" s="109"/>
      <c r="O19" s="103"/>
      <c r="P19" s="98">
        <v>450</v>
      </c>
      <c r="Q19" s="98"/>
      <c r="R19" s="103">
        <f t="shared" si="1"/>
        <v>24550</v>
      </c>
      <c r="S19" s="116">
        <f t="shared" si="2"/>
        <v>450</v>
      </c>
      <c r="T19" s="100"/>
    </row>
    <row r="20" spans="1:20" ht="21.75">
      <c r="A20" s="117">
        <v>14</v>
      </c>
      <c r="B20" s="106" t="s">
        <v>56</v>
      </c>
      <c r="C20" s="107" t="s">
        <v>57</v>
      </c>
      <c r="D20" s="97">
        <v>3220600051547</v>
      </c>
      <c r="E20" s="107" t="s">
        <v>58</v>
      </c>
      <c r="F20" s="354" t="s">
        <v>169</v>
      </c>
      <c r="G20" s="103">
        <v>25000</v>
      </c>
      <c r="H20" s="107"/>
      <c r="I20" s="107"/>
      <c r="J20" s="107"/>
      <c r="K20" s="107"/>
      <c r="L20" s="107"/>
      <c r="M20" s="103"/>
      <c r="N20" s="109"/>
      <c r="O20" s="103"/>
      <c r="P20" s="98">
        <v>450</v>
      </c>
      <c r="Q20" s="98"/>
      <c r="R20" s="103">
        <f t="shared" si="1"/>
        <v>24550</v>
      </c>
      <c r="S20" s="116">
        <f t="shared" si="2"/>
        <v>450</v>
      </c>
      <c r="T20" s="100"/>
    </row>
    <row r="21" spans="1:20" ht="21.75">
      <c r="A21" s="117">
        <v>15</v>
      </c>
      <c r="B21" s="106" t="s">
        <v>60</v>
      </c>
      <c r="C21" s="107" t="s">
        <v>61</v>
      </c>
      <c r="D21" s="97">
        <v>1669800026200</v>
      </c>
      <c r="E21" s="107" t="s">
        <v>44</v>
      </c>
      <c r="F21" s="198" t="s">
        <v>168</v>
      </c>
      <c r="G21" s="103">
        <v>25000</v>
      </c>
      <c r="H21" s="107"/>
      <c r="I21" s="107"/>
      <c r="J21" s="107"/>
      <c r="K21" s="107"/>
      <c r="L21" s="107"/>
      <c r="M21" s="103"/>
      <c r="N21" s="109"/>
      <c r="O21" s="103"/>
      <c r="P21" s="98">
        <v>450</v>
      </c>
      <c r="Q21" s="98"/>
      <c r="R21" s="103">
        <f t="shared" si="1"/>
        <v>24550</v>
      </c>
      <c r="S21" s="116">
        <f t="shared" si="2"/>
        <v>450</v>
      </c>
      <c r="T21" s="100"/>
    </row>
    <row r="22" spans="1:20" ht="21.75">
      <c r="A22" s="117">
        <v>16</v>
      </c>
      <c r="B22" s="106" t="s">
        <v>62</v>
      </c>
      <c r="C22" s="107" t="s">
        <v>63</v>
      </c>
      <c r="D22" s="97">
        <v>3250700359462</v>
      </c>
      <c r="E22" s="107" t="s">
        <v>44</v>
      </c>
      <c r="F22" s="198" t="s">
        <v>168</v>
      </c>
      <c r="G22" s="103">
        <v>25000</v>
      </c>
      <c r="H22" s="107"/>
      <c r="I22" s="107"/>
      <c r="J22" s="107"/>
      <c r="K22" s="107"/>
      <c r="L22" s="107"/>
      <c r="M22" s="103"/>
      <c r="N22" s="109"/>
      <c r="O22" s="103"/>
      <c r="P22" s="98">
        <v>450</v>
      </c>
      <c r="Q22" s="98"/>
      <c r="R22" s="103">
        <f t="shared" si="1"/>
        <v>24550</v>
      </c>
      <c r="S22" s="116">
        <f t="shared" si="2"/>
        <v>450</v>
      </c>
      <c r="T22" s="100"/>
    </row>
    <row r="23" spans="1:20" ht="21.75">
      <c r="A23" s="117">
        <v>17</v>
      </c>
      <c r="B23" s="106" t="s">
        <v>64</v>
      </c>
      <c r="C23" s="107" t="s">
        <v>65</v>
      </c>
      <c r="D23" s="97">
        <v>3480100123199</v>
      </c>
      <c r="E23" s="107" t="s">
        <v>44</v>
      </c>
      <c r="F23" s="198" t="s">
        <v>168</v>
      </c>
      <c r="G23" s="103">
        <v>25000</v>
      </c>
      <c r="H23" s="107"/>
      <c r="I23" s="107"/>
      <c r="J23" s="107"/>
      <c r="K23" s="107"/>
      <c r="L23" s="107"/>
      <c r="M23" s="103"/>
      <c r="N23" s="109"/>
      <c r="O23" s="103"/>
      <c r="P23" s="98">
        <v>450</v>
      </c>
      <c r="Q23" s="98"/>
      <c r="R23" s="103">
        <f t="shared" si="1"/>
        <v>24550</v>
      </c>
      <c r="S23" s="116">
        <f t="shared" si="2"/>
        <v>450</v>
      </c>
      <c r="T23" s="100"/>
    </row>
    <row r="24" spans="1:20" ht="21.75">
      <c r="A24" s="117">
        <v>18</v>
      </c>
      <c r="B24" s="106" t="s">
        <v>66</v>
      </c>
      <c r="C24" s="107" t="s">
        <v>67</v>
      </c>
      <c r="D24" s="97">
        <v>3401500318249</v>
      </c>
      <c r="E24" s="107" t="s">
        <v>44</v>
      </c>
      <c r="F24" s="198" t="s">
        <v>168</v>
      </c>
      <c r="G24" s="103">
        <v>25000</v>
      </c>
      <c r="H24" s="107"/>
      <c r="I24" s="107"/>
      <c r="J24" s="107"/>
      <c r="K24" s="107"/>
      <c r="L24" s="107"/>
      <c r="M24" s="103"/>
      <c r="N24" s="109"/>
      <c r="O24" s="103"/>
      <c r="P24" s="98">
        <v>450</v>
      </c>
      <c r="Q24" s="98"/>
      <c r="R24" s="103">
        <f t="shared" si="1"/>
        <v>24550</v>
      </c>
      <c r="S24" s="116">
        <f t="shared" si="2"/>
        <v>450</v>
      </c>
      <c r="T24" s="100"/>
    </row>
    <row r="25" spans="1:20" ht="21.75">
      <c r="A25" s="117">
        <v>19</v>
      </c>
      <c r="B25" s="106" t="s">
        <v>68</v>
      </c>
      <c r="C25" s="107" t="s">
        <v>69</v>
      </c>
      <c r="D25" s="97">
        <v>3250400588105</v>
      </c>
      <c r="E25" s="107" t="s">
        <v>44</v>
      </c>
      <c r="F25" s="198" t="s">
        <v>168</v>
      </c>
      <c r="G25" s="103">
        <v>25000</v>
      </c>
      <c r="H25" s="107"/>
      <c r="I25" s="107"/>
      <c r="J25" s="107"/>
      <c r="K25" s="107"/>
      <c r="L25" s="107"/>
      <c r="M25" s="103"/>
      <c r="N25" s="109"/>
      <c r="O25" s="103"/>
      <c r="P25" s="98">
        <v>450</v>
      </c>
      <c r="Q25" s="98"/>
      <c r="R25" s="103">
        <f t="shared" si="1"/>
        <v>24550</v>
      </c>
      <c r="S25" s="116">
        <f t="shared" si="2"/>
        <v>450</v>
      </c>
      <c r="T25" s="100"/>
    </row>
    <row r="26" spans="1:20" s="368" customFormat="1" ht="21.75">
      <c r="A26" s="121">
        <v>20</v>
      </c>
      <c r="B26" s="140" t="s">
        <v>70</v>
      </c>
      <c r="C26" s="132" t="s">
        <v>71</v>
      </c>
      <c r="D26" s="137">
        <v>3220600129554</v>
      </c>
      <c r="E26" s="132" t="s">
        <v>72</v>
      </c>
      <c r="F26" s="135" t="s">
        <v>168</v>
      </c>
      <c r="G26" s="135">
        <f>+I26*J26</f>
        <v>11440</v>
      </c>
      <c r="H26" s="132"/>
      <c r="I26" s="132">
        <v>440</v>
      </c>
      <c r="J26" s="132">
        <v>26</v>
      </c>
      <c r="K26" s="132"/>
      <c r="L26" s="132"/>
      <c r="M26" s="135"/>
      <c r="N26" s="134"/>
      <c r="O26" s="135"/>
      <c r="P26" s="135">
        <f>ROUND(G26*3%,0)</f>
        <v>343</v>
      </c>
      <c r="Q26" s="135"/>
      <c r="R26" s="135">
        <f t="shared" si="1"/>
        <v>11097</v>
      </c>
      <c r="S26" s="128">
        <f t="shared" si="2"/>
        <v>343</v>
      </c>
      <c r="T26" s="135"/>
    </row>
    <row r="27" spans="1:20" s="374" customFormat="1" ht="21.75">
      <c r="A27" s="121">
        <v>21</v>
      </c>
      <c r="B27" s="140" t="s">
        <v>73</v>
      </c>
      <c r="C27" s="132" t="s">
        <v>74</v>
      </c>
      <c r="D27" s="137">
        <v>1330400154485</v>
      </c>
      <c r="E27" s="132" t="s">
        <v>72</v>
      </c>
      <c r="F27" s="135" t="s">
        <v>168</v>
      </c>
      <c r="G27" s="135">
        <f>+I27*J27</f>
        <v>9620</v>
      </c>
      <c r="H27" s="132"/>
      <c r="I27" s="132">
        <v>370</v>
      </c>
      <c r="J27" s="132">
        <v>26</v>
      </c>
      <c r="K27" s="132"/>
      <c r="L27" s="132"/>
      <c r="M27" s="135"/>
      <c r="N27" s="134"/>
      <c r="O27" s="135"/>
      <c r="P27" s="135">
        <f>ROUND(G27*3%,0)</f>
        <v>289</v>
      </c>
      <c r="Q27" s="135"/>
      <c r="R27" s="135">
        <f t="shared" si="1"/>
        <v>9331</v>
      </c>
      <c r="S27" s="128">
        <f t="shared" si="2"/>
        <v>289</v>
      </c>
      <c r="T27" s="135"/>
    </row>
    <row r="28" spans="1:20" ht="21.75">
      <c r="A28" s="117">
        <v>22</v>
      </c>
      <c r="B28" s="106" t="s">
        <v>75</v>
      </c>
      <c r="C28" s="107" t="s">
        <v>76</v>
      </c>
      <c r="D28" s="97">
        <v>3480600174426</v>
      </c>
      <c r="E28" s="107" t="s">
        <v>44</v>
      </c>
      <c r="F28" s="198" t="s">
        <v>168</v>
      </c>
      <c r="G28" s="103">
        <v>25000</v>
      </c>
      <c r="H28" s="107"/>
      <c r="I28" s="107"/>
      <c r="J28" s="107"/>
      <c r="K28" s="107"/>
      <c r="L28" s="107"/>
      <c r="M28" s="103"/>
      <c r="N28" s="109"/>
      <c r="O28" s="103"/>
      <c r="P28" s="103">
        <v>450</v>
      </c>
      <c r="Q28" s="98"/>
      <c r="R28" s="103">
        <f t="shared" si="1"/>
        <v>24550</v>
      </c>
      <c r="S28" s="116">
        <f t="shared" si="2"/>
        <v>450</v>
      </c>
      <c r="T28" s="100"/>
    </row>
    <row r="29" spans="1:20" ht="21.75">
      <c r="A29" s="117">
        <v>23</v>
      </c>
      <c r="B29" s="106" t="s">
        <v>77</v>
      </c>
      <c r="C29" s="107" t="s">
        <v>78</v>
      </c>
      <c r="D29" s="97">
        <v>1220600005824</v>
      </c>
      <c r="E29" s="107" t="s">
        <v>79</v>
      </c>
      <c r="F29" s="354" t="s">
        <v>169</v>
      </c>
      <c r="G29" s="103">
        <v>17000</v>
      </c>
      <c r="H29" s="113" t="s">
        <v>80</v>
      </c>
      <c r="I29" s="107"/>
      <c r="J29" s="107"/>
      <c r="K29" s="107"/>
      <c r="L29" s="107"/>
      <c r="M29" s="103"/>
      <c r="N29" s="109"/>
      <c r="O29" s="103"/>
      <c r="P29" s="103">
        <v>450</v>
      </c>
      <c r="Q29" s="98"/>
      <c r="R29" s="103">
        <f t="shared" si="1"/>
        <v>16550</v>
      </c>
      <c r="S29" s="116">
        <f t="shared" si="2"/>
        <v>450</v>
      </c>
      <c r="T29" s="100"/>
    </row>
    <row r="30" spans="1:20" ht="21.75">
      <c r="A30" s="117">
        <v>24</v>
      </c>
      <c r="B30" s="96" t="s">
        <v>84</v>
      </c>
      <c r="C30" s="95" t="s">
        <v>85</v>
      </c>
      <c r="D30" s="97">
        <v>1229900694674</v>
      </c>
      <c r="E30" s="95" t="s">
        <v>32</v>
      </c>
      <c r="F30" s="353" t="s">
        <v>169</v>
      </c>
      <c r="G30" s="98">
        <v>17000</v>
      </c>
      <c r="H30" s="113" t="s">
        <v>83</v>
      </c>
      <c r="I30" s="95"/>
      <c r="J30" s="95"/>
      <c r="K30" s="95"/>
      <c r="L30" s="107"/>
      <c r="M30" s="98"/>
      <c r="N30" s="109"/>
      <c r="O30" s="103"/>
      <c r="P30" s="103">
        <v>450</v>
      </c>
      <c r="Q30" s="98"/>
      <c r="R30" s="103">
        <f t="shared" si="1"/>
        <v>16550</v>
      </c>
      <c r="S30" s="116">
        <f t="shared" si="2"/>
        <v>450</v>
      </c>
      <c r="T30" s="100"/>
    </row>
    <row r="31" spans="1:20" ht="21.75">
      <c r="A31" s="117">
        <v>25</v>
      </c>
      <c r="B31" s="106" t="s">
        <v>86</v>
      </c>
      <c r="C31" s="107" t="s">
        <v>87</v>
      </c>
      <c r="D31" s="97">
        <v>3480100123211</v>
      </c>
      <c r="E31" s="107" t="s">
        <v>44</v>
      </c>
      <c r="F31" s="198" t="s">
        <v>168</v>
      </c>
      <c r="G31" s="103">
        <v>25000</v>
      </c>
      <c r="H31" s="108" t="s">
        <v>88</v>
      </c>
      <c r="I31" s="107"/>
      <c r="J31" s="107"/>
      <c r="K31" s="107"/>
      <c r="L31" s="107"/>
      <c r="M31" s="103"/>
      <c r="N31" s="109"/>
      <c r="O31" s="103"/>
      <c r="P31" s="103">
        <v>450</v>
      </c>
      <c r="Q31" s="98"/>
      <c r="R31" s="103">
        <f t="shared" si="1"/>
        <v>24550</v>
      </c>
      <c r="S31" s="116">
        <f t="shared" si="2"/>
        <v>450</v>
      </c>
      <c r="T31" s="102"/>
    </row>
    <row r="32" spans="1:20" s="374" customFormat="1" ht="21.75">
      <c r="A32" s="121">
        <v>26</v>
      </c>
      <c r="B32" s="140" t="s">
        <v>89</v>
      </c>
      <c r="C32" s="132" t="s">
        <v>90</v>
      </c>
      <c r="D32" s="132" t="s">
        <v>90</v>
      </c>
      <c r="E32" s="132" t="s">
        <v>72</v>
      </c>
      <c r="F32" s="135" t="s">
        <v>168</v>
      </c>
      <c r="G32" s="135">
        <f>+I32*J32</f>
        <v>10920</v>
      </c>
      <c r="H32" s="369" t="s">
        <v>88</v>
      </c>
      <c r="I32" s="132">
        <v>420</v>
      </c>
      <c r="J32" s="132">
        <v>26</v>
      </c>
      <c r="K32" s="132"/>
      <c r="L32" s="132"/>
      <c r="M32" s="135"/>
      <c r="N32" s="134"/>
      <c r="O32" s="135"/>
      <c r="P32" s="135">
        <f>ROUND(G32*3%,0)</f>
        <v>328</v>
      </c>
      <c r="Q32" s="135"/>
      <c r="R32" s="135">
        <f t="shared" si="1"/>
        <v>10592</v>
      </c>
      <c r="S32" s="128">
        <f t="shared" si="2"/>
        <v>328</v>
      </c>
      <c r="T32" s="135"/>
    </row>
    <row r="33" spans="1:20" s="374" customFormat="1" ht="21.75">
      <c r="A33" s="121">
        <v>27</v>
      </c>
      <c r="B33" s="140" t="s">
        <v>97</v>
      </c>
      <c r="C33" s="137">
        <v>6016200526680</v>
      </c>
      <c r="D33" s="137">
        <v>991016243920</v>
      </c>
      <c r="E33" s="132" t="s">
        <v>95</v>
      </c>
      <c r="F33" s="135" t="s">
        <v>168</v>
      </c>
      <c r="G33" s="135">
        <f t="shared" ref="G33:G36" si="3">I33*J33</f>
        <v>8500</v>
      </c>
      <c r="H33" s="369" t="s">
        <v>96</v>
      </c>
      <c r="I33" s="132">
        <v>340</v>
      </c>
      <c r="J33" s="132">
        <v>25</v>
      </c>
      <c r="K33" s="132"/>
      <c r="L33" s="132"/>
      <c r="M33" s="135"/>
      <c r="N33" s="134"/>
      <c r="O33" s="135"/>
      <c r="P33" s="135">
        <f t="shared" ref="P33:P36" si="4">ROUND(G33*3%,0)</f>
        <v>255</v>
      </c>
      <c r="Q33" s="135"/>
      <c r="R33" s="135">
        <f t="shared" si="1"/>
        <v>8245</v>
      </c>
      <c r="S33" s="128">
        <f t="shared" si="2"/>
        <v>255</v>
      </c>
      <c r="T33" s="135"/>
    </row>
    <row r="34" spans="1:20" s="374" customFormat="1" ht="21.75">
      <c r="A34" s="121">
        <v>28</v>
      </c>
      <c r="B34" s="140" t="s">
        <v>98</v>
      </c>
      <c r="C34" s="137">
        <v>6016200526639</v>
      </c>
      <c r="D34" s="137">
        <v>991016243091</v>
      </c>
      <c r="E34" s="132" t="s">
        <v>95</v>
      </c>
      <c r="F34" s="135" t="s">
        <v>168</v>
      </c>
      <c r="G34" s="135">
        <f t="shared" si="3"/>
        <v>8500</v>
      </c>
      <c r="H34" s="369" t="s">
        <v>96</v>
      </c>
      <c r="I34" s="132">
        <v>340</v>
      </c>
      <c r="J34" s="132">
        <v>25</v>
      </c>
      <c r="K34" s="132"/>
      <c r="L34" s="132"/>
      <c r="M34" s="135"/>
      <c r="N34" s="134"/>
      <c r="O34" s="135"/>
      <c r="P34" s="135">
        <f t="shared" si="4"/>
        <v>255</v>
      </c>
      <c r="Q34" s="135"/>
      <c r="R34" s="135">
        <f t="shared" si="1"/>
        <v>8245</v>
      </c>
      <c r="S34" s="128">
        <f t="shared" si="2"/>
        <v>255</v>
      </c>
      <c r="T34" s="135"/>
    </row>
    <row r="35" spans="1:20" s="374" customFormat="1" ht="21.75">
      <c r="A35" s="121">
        <v>29</v>
      </c>
      <c r="B35" s="131" t="s">
        <v>108</v>
      </c>
      <c r="C35" s="132" t="s">
        <v>109</v>
      </c>
      <c r="D35" s="137">
        <v>1229900526551</v>
      </c>
      <c r="E35" s="132" t="s">
        <v>72</v>
      </c>
      <c r="F35" s="135" t="s">
        <v>168</v>
      </c>
      <c r="G35" s="135">
        <f t="shared" si="3"/>
        <v>11440</v>
      </c>
      <c r="H35" s="133" t="s">
        <v>107</v>
      </c>
      <c r="I35" s="132">
        <v>440</v>
      </c>
      <c r="J35" s="132">
        <v>26</v>
      </c>
      <c r="K35" s="132"/>
      <c r="L35" s="132"/>
      <c r="M35" s="135"/>
      <c r="N35" s="134"/>
      <c r="O35" s="135"/>
      <c r="P35" s="135">
        <f t="shared" si="4"/>
        <v>343</v>
      </c>
      <c r="Q35" s="135"/>
      <c r="R35" s="135">
        <f t="shared" si="1"/>
        <v>11097</v>
      </c>
      <c r="S35" s="128">
        <f t="shared" si="2"/>
        <v>343</v>
      </c>
      <c r="T35" s="135"/>
    </row>
    <row r="36" spans="1:20" s="374" customFormat="1" ht="21.75">
      <c r="A36" s="121">
        <v>30</v>
      </c>
      <c r="B36" s="131" t="s">
        <v>112</v>
      </c>
      <c r="C36" s="137">
        <v>6016300837709</v>
      </c>
      <c r="D36" s="137">
        <v>991019747724</v>
      </c>
      <c r="E36" s="132" t="s">
        <v>95</v>
      </c>
      <c r="F36" s="135" t="s">
        <v>168</v>
      </c>
      <c r="G36" s="135">
        <f t="shared" si="3"/>
        <v>8500</v>
      </c>
      <c r="H36" s="133" t="s">
        <v>111</v>
      </c>
      <c r="I36" s="132">
        <v>340</v>
      </c>
      <c r="J36" s="132">
        <v>25</v>
      </c>
      <c r="K36" s="132"/>
      <c r="L36" s="132"/>
      <c r="M36" s="135"/>
      <c r="N36" s="134"/>
      <c r="O36" s="135"/>
      <c r="P36" s="135">
        <f t="shared" si="4"/>
        <v>255</v>
      </c>
      <c r="Q36" s="135"/>
      <c r="R36" s="135">
        <f t="shared" si="1"/>
        <v>8245</v>
      </c>
      <c r="S36" s="128">
        <f t="shared" si="2"/>
        <v>255</v>
      </c>
      <c r="T36" s="135"/>
    </row>
    <row r="37" spans="1:20" ht="21.75">
      <c r="A37" s="117">
        <v>31</v>
      </c>
      <c r="B37" s="106" t="s">
        <v>100</v>
      </c>
      <c r="C37" s="111">
        <v>1101500149087</v>
      </c>
      <c r="D37" s="97">
        <v>1101500149087</v>
      </c>
      <c r="E37" s="107" t="s">
        <v>44</v>
      </c>
      <c r="F37" s="198" t="s">
        <v>168</v>
      </c>
      <c r="G37" s="103">
        <v>25000</v>
      </c>
      <c r="H37" s="112" t="s">
        <v>101</v>
      </c>
      <c r="I37" s="107"/>
      <c r="J37" s="107"/>
      <c r="K37" s="107"/>
      <c r="L37" s="107"/>
      <c r="M37" s="103"/>
      <c r="N37" s="109"/>
      <c r="O37" s="103"/>
      <c r="P37" s="103">
        <v>450</v>
      </c>
      <c r="Q37" s="98"/>
      <c r="R37" s="103">
        <f t="shared" si="1"/>
        <v>24550</v>
      </c>
      <c r="S37" s="116">
        <f t="shared" si="2"/>
        <v>450</v>
      </c>
      <c r="T37" s="100"/>
    </row>
    <row r="38" spans="1:20" s="368" customFormat="1" ht="21.75">
      <c r="A38" s="121">
        <v>32</v>
      </c>
      <c r="B38" s="140" t="s">
        <v>102</v>
      </c>
      <c r="C38" s="137">
        <v>6016201374921</v>
      </c>
      <c r="D38" s="137">
        <v>991017408884</v>
      </c>
      <c r="E38" s="132" t="s">
        <v>95</v>
      </c>
      <c r="F38" s="135" t="s">
        <v>168</v>
      </c>
      <c r="G38" s="135">
        <f>+I38*J38</f>
        <v>8500</v>
      </c>
      <c r="H38" s="133" t="s">
        <v>106</v>
      </c>
      <c r="I38" s="132">
        <v>340</v>
      </c>
      <c r="J38" s="132">
        <v>25</v>
      </c>
      <c r="K38" s="132"/>
      <c r="L38" s="132"/>
      <c r="M38" s="135"/>
      <c r="N38" s="134"/>
      <c r="O38" s="135"/>
      <c r="P38" s="135">
        <f>ROUND(G38*3%,0)</f>
        <v>255</v>
      </c>
      <c r="Q38" s="135"/>
      <c r="R38" s="135">
        <f t="shared" si="1"/>
        <v>8245</v>
      </c>
      <c r="S38" s="128">
        <f t="shared" si="2"/>
        <v>255</v>
      </c>
      <c r="T38" s="135"/>
    </row>
    <row r="39" spans="1:20" ht="21.75">
      <c r="A39" s="117">
        <v>33</v>
      </c>
      <c r="B39" s="96" t="s">
        <v>118</v>
      </c>
      <c r="C39" s="97">
        <v>1229900643638</v>
      </c>
      <c r="D39" s="97">
        <v>1229900643638</v>
      </c>
      <c r="E39" s="95" t="s">
        <v>44</v>
      </c>
      <c r="F39" s="248" t="s">
        <v>168</v>
      </c>
      <c r="G39" s="98">
        <v>25000</v>
      </c>
      <c r="H39" s="99" t="s">
        <v>119</v>
      </c>
      <c r="I39" s="95"/>
      <c r="J39" s="95"/>
      <c r="K39" s="95"/>
      <c r="L39" s="107"/>
      <c r="M39" s="98"/>
      <c r="N39" s="115"/>
      <c r="O39" s="98"/>
      <c r="P39" s="103">
        <v>450</v>
      </c>
      <c r="Q39" s="98"/>
      <c r="R39" s="103">
        <f t="shared" si="1"/>
        <v>24550</v>
      </c>
      <c r="S39" s="116">
        <f t="shared" si="2"/>
        <v>450</v>
      </c>
      <c r="T39" s="100"/>
    </row>
    <row r="40" spans="1:20" ht="21.75">
      <c r="A40" s="117">
        <v>34</v>
      </c>
      <c r="B40" s="96" t="s">
        <v>121</v>
      </c>
      <c r="C40" s="97">
        <v>3341600658671</v>
      </c>
      <c r="D40" s="97">
        <v>3341600658671</v>
      </c>
      <c r="E40" s="95" t="s">
        <v>44</v>
      </c>
      <c r="F40" s="248" t="s">
        <v>168</v>
      </c>
      <c r="G40" s="98">
        <v>25000</v>
      </c>
      <c r="H40" s="99" t="s">
        <v>119</v>
      </c>
      <c r="I40" s="95"/>
      <c r="J40" s="95"/>
      <c r="K40" s="95"/>
      <c r="L40" s="107"/>
      <c r="M40" s="98"/>
      <c r="N40" s="115"/>
      <c r="O40" s="98"/>
      <c r="P40" s="103">
        <v>450</v>
      </c>
      <c r="Q40" s="98"/>
      <c r="R40" s="103">
        <f t="shared" si="1"/>
        <v>24550</v>
      </c>
      <c r="S40" s="116">
        <f t="shared" si="2"/>
        <v>450</v>
      </c>
      <c r="T40" s="100"/>
    </row>
    <row r="41" spans="1:20" s="374" customFormat="1" ht="21.75">
      <c r="A41" s="121">
        <v>35</v>
      </c>
      <c r="B41" s="141" t="s">
        <v>138</v>
      </c>
      <c r="C41" s="142">
        <v>1461000135963</v>
      </c>
      <c r="D41" s="137">
        <v>1461000135963</v>
      </c>
      <c r="E41" s="143" t="s">
        <v>95</v>
      </c>
      <c r="F41" s="128" t="s">
        <v>168</v>
      </c>
      <c r="G41" s="128">
        <f>I41*J41</f>
        <v>9360</v>
      </c>
      <c r="H41" s="144" t="s">
        <v>139</v>
      </c>
      <c r="I41" s="143">
        <v>360</v>
      </c>
      <c r="J41" s="143">
        <v>26</v>
      </c>
      <c r="K41" s="143"/>
      <c r="L41" s="132"/>
      <c r="M41" s="128"/>
      <c r="N41" s="145"/>
      <c r="O41" s="128"/>
      <c r="P41" s="135">
        <f>ROUND(G41*3%,0)</f>
        <v>281</v>
      </c>
      <c r="Q41" s="128"/>
      <c r="R41" s="135">
        <f t="shared" si="1"/>
        <v>9079</v>
      </c>
      <c r="S41" s="128">
        <f t="shared" si="2"/>
        <v>281</v>
      </c>
      <c r="T41" s="135"/>
    </row>
    <row r="42" spans="1:20" ht="21.75">
      <c r="A42" s="117">
        <v>36</v>
      </c>
      <c r="B42" s="180" t="s">
        <v>163</v>
      </c>
      <c r="C42" s="181">
        <v>6016100144033</v>
      </c>
      <c r="D42" s="97">
        <v>239989001934</v>
      </c>
      <c r="E42" s="182" t="s">
        <v>32</v>
      </c>
      <c r="F42" s="352" t="s">
        <v>169</v>
      </c>
      <c r="G42" s="116">
        <v>26000</v>
      </c>
      <c r="H42" s="99" t="s">
        <v>164</v>
      </c>
      <c r="I42" s="95"/>
      <c r="J42" s="95"/>
      <c r="K42" s="183"/>
      <c r="L42" s="107"/>
      <c r="M42" s="185"/>
      <c r="N42" s="115"/>
      <c r="O42" s="185"/>
      <c r="P42" s="103">
        <v>450</v>
      </c>
      <c r="Q42" s="116"/>
      <c r="R42" s="103">
        <f t="shared" si="1"/>
        <v>25550</v>
      </c>
      <c r="S42" s="116">
        <f t="shared" si="2"/>
        <v>450</v>
      </c>
      <c r="T42" s="100"/>
    </row>
    <row r="43" spans="1:20" s="368" customFormat="1" ht="21.75">
      <c r="A43" s="121">
        <v>37</v>
      </c>
      <c r="B43" s="141" t="s">
        <v>192</v>
      </c>
      <c r="C43" s="137">
        <v>1499900366870</v>
      </c>
      <c r="D43" s="142">
        <v>1499900366870</v>
      </c>
      <c r="E43" s="143" t="s">
        <v>72</v>
      </c>
      <c r="F43" s="128" t="s">
        <v>168</v>
      </c>
      <c r="G43" s="128">
        <f>I43*J43</f>
        <v>8925</v>
      </c>
      <c r="H43" s="144" t="s">
        <v>194</v>
      </c>
      <c r="I43" s="143">
        <v>350</v>
      </c>
      <c r="J43" s="143">
        <v>25.5</v>
      </c>
      <c r="K43" s="143"/>
      <c r="L43" s="132"/>
      <c r="M43" s="128"/>
      <c r="N43" s="145"/>
      <c r="O43" s="128"/>
      <c r="P43" s="135">
        <f>ROUND(G43*3%,0)</f>
        <v>268</v>
      </c>
      <c r="Q43" s="128"/>
      <c r="R43" s="135">
        <f t="shared" si="1"/>
        <v>8657</v>
      </c>
      <c r="S43" s="128">
        <f t="shared" si="2"/>
        <v>268</v>
      </c>
      <c r="T43" s="135"/>
    </row>
    <row r="44" spans="1:20" ht="21.75">
      <c r="A44" s="117">
        <v>38</v>
      </c>
      <c r="B44" s="180" t="s">
        <v>225</v>
      </c>
      <c r="C44" s="107" t="s">
        <v>228</v>
      </c>
      <c r="D44" s="107" t="s">
        <v>228</v>
      </c>
      <c r="E44" s="182" t="s">
        <v>32</v>
      </c>
      <c r="F44" s="357" t="s">
        <v>169</v>
      </c>
      <c r="G44" s="116">
        <v>12000</v>
      </c>
      <c r="H44" s="347" t="s">
        <v>230</v>
      </c>
      <c r="I44" s="182"/>
      <c r="J44" s="182"/>
      <c r="K44" s="182"/>
      <c r="L44" s="107"/>
      <c r="M44" s="116"/>
      <c r="N44" s="348"/>
      <c r="O44" s="116"/>
      <c r="P44" s="98">
        <f t="shared" ref="P44" si="5">ROUND(G44*3%,0)</f>
        <v>360</v>
      </c>
      <c r="Q44" s="116"/>
      <c r="R44" s="103">
        <f t="shared" si="1"/>
        <v>11640</v>
      </c>
      <c r="S44" s="116">
        <f t="shared" si="2"/>
        <v>360</v>
      </c>
      <c r="T44" s="103"/>
    </row>
    <row r="45" spans="1:20" s="368" customFormat="1" ht="21.75">
      <c r="A45" s="117">
        <v>39</v>
      </c>
      <c r="B45" s="180" t="s">
        <v>241</v>
      </c>
      <c r="C45" s="95" t="s">
        <v>242</v>
      </c>
      <c r="D45" s="95" t="s">
        <v>242</v>
      </c>
      <c r="E45" s="182" t="s">
        <v>32</v>
      </c>
      <c r="F45" s="357" t="s">
        <v>169</v>
      </c>
      <c r="G45" s="116">
        <v>15000</v>
      </c>
      <c r="H45" s="347" t="s">
        <v>243</v>
      </c>
      <c r="I45" s="182"/>
      <c r="J45" s="182"/>
      <c r="K45" s="182"/>
      <c r="L45" s="182"/>
      <c r="M45" s="116"/>
      <c r="N45" s="184"/>
      <c r="O45" s="116"/>
      <c r="P45" s="98">
        <f>ROUND(G45*3%,0)</f>
        <v>450</v>
      </c>
      <c r="Q45" s="116"/>
      <c r="R45" s="116">
        <f t="shared" si="1"/>
        <v>14550</v>
      </c>
      <c r="S45" s="116">
        <f t="shared" si="2"/>
        <v>450</v>
      </c>
      <c r="T45" s="116" t="s">
        <v>245</v>
      </c>
    </row>
    <row r="46" spans="1:20" ht="22.5" thickBot="1">
      <c r="A46" s="402" t="s">
        <v>103</v>
      </c>
      <c r="B46" s="402"/>
      <c r="C46" s="402"/>
      <c r="D46" s="402"/>
      <c r="E46" s="402"/>
      <c r="F46" s="402"/>
      <c r="G46" s="89">
        <f>SUM(G7:G45)</f>
        <v>722005</v>
      </c>
      <c r="H46" s="75"/>
      <c r="I46" s="75"/>
      <c r="J46" s="75"/>
      <c r="K46" s="89">
        <f>SUM(K7:K44)</f>
        <v>0</v>
      </c>
      <c r="L46" s="89">
        <f>SUM(L7:L44)</f>
        <v>0</v>
      </c>
      <c r="M46" s="89">
        <f>SUM(M7:M44)</f>
        <v>0</v>
      </c>
      <c r="N46" s="87"/>
      <c r="O46" s="87"/>
      <c r="P46" s="89">
        <f>SUM(P7:P45)</f>
        <v>15802</v>
      </c>
      <c r="Q46" s="89">
        <f>SUM(Q7:Q45)</f>
        <v>1510</v>
      </c>
      <c r="R46" s="89">
        <f>SUM(R7:R45)</f>
        <v>704693</v>
      </c>
      <c r="S46" s="89">
        <f>SUM(S7:S45)</f>
        <v>15802</v>
      </c>
      <c r="T46" s="310"/>
    </row>
    <row r="47" spans="1:20" ht="23.25" thickTop="1" thickBot="1">
      <c r="A47" s="119"/>
      <c r="B47" s="3"/>
      <c r="C47" s="3"/>
      <c r="D47" s="49"/>
      <c r="E47" s="3"/>
      <c r="F47" s="3"/>
      <c r="G47" s="39"/>
      <c r="H47" s="39"/>
      <c r="I47" s="39"/>
      <c r="J47" s="39"/>
      <c r="K47" s="39"/>
      <c r="L47" s="39"/>
      <c r="M47" s="39"/>
      <c r="N47" s="331"/>
      <c r="O47" s="331"/>
      <c r="P47" s="39"/>
      <c r="Q47" s="166"/>
      <c r="R47" s="39"/>
      <c r="S47" s="76"/>
      <c r="T47" s="5"/>
    </row>
    <row r="48" spans="1:20" ht="38.25" customHeight="1" thickBot="1">
      <c r="A48" s="119"/>
      <c r="B48" s="50" t="s">
        <v>12</v>
      </c>
      <c r="C48" s="3"/>
      <c r="D48" s="49"/>
      <c r="E48" s="3"/>
      <c r="F48" s="3"/>
      <c r="G48" s="39"/>
      <c r="H48" s="156" t="s">
        <v>145</v>
      </c>
      <c r="I48" s="39"/>
      <c r="J48" s="39"/>
      <c r="K48" s="39"/>
      <c r="L48" s="1"/>
      <c r="M48" s="94"/>
      <c r="N48" s="1"/>
      <c r="O48" s="1"/>
      <c r="P48" s="303" t="s">
        <v>158</v>
      </c>
      <c r="Q48" s="153" t="s">
        <v>159</v>
      </c>
      <c r="R48" s="153" t="s">
        <v>190</v>
      </c>
      <c r="S48" s="164" t="s">
        <v>150</v>
      </c>
      <c r="T48" s="153" t="s">
        <v>11</v>
      </c>
    </row>
    <row r="49" spans="1:20" ht="21.75">
      <c r="A49" s="119"/>
      <c r="B49" s="52" t="s">
        <v>156</v>
      </c>
      <c r="C49" s="149"/>
      <c r="D49" s="149">
        <v>6</v>
      </c>
      <c r="E49" s="54" t="s">
        <v>142</v>
      </c>
      <c r="F49" s="54"/>
      <c r="G49" s="55" t="s">
        <v>140</v>
      </c>
      <c r="H49" s="366" t="s">
        <v>141</v>
      </c>
      <c r="I49" s="170">
        <v>10</v>
      </c>
      <c r="J49" s="171" t="s">
        <v>142</v>
      </c>
      <c r="K49" s="148"/>
      <c r="L49" s="1"/>
      <c r="M49" s="94"/>
      <c r="N49" s="1"/>
      <c r="O49" s="1"/>
      <c r="P49" s="16">
        <f>+G26+G27+G32+G33+G34+G35+G36+G38+G41+G43</f>
        <v>95705</v>
      </c>
      <c r="Q49" s="16">
        <f>+P26+P27+P32+P33+P34+P35+P36+P38+P41+P43</f>
        <v>2872</v>
      </c>
      <c r="R49" s="16">
        <f>+M26+M27+M32+M33+M34+M36+M38+M41+M44</f>
        <v>0</v>
      </c>
      <c r="S49" s="24">
        <v>0</v>
      </c>
      <c r="T49" s="349">
        <f>+R26+R27+R32+R33+R34+R35+R36+R38+R41+R43</f>
        <v>92833</v>
      </c>
    </row>
    <row r="50" spans="1:20" ht="21.75">
      <c r="A50" s="119"/>
      <c r="B50" s="56" t="s">
        <v>137</v>
      </c>
      <c r="C50" s="372"/>
      <c r="D50" s="118"/>
      <c r="E50" s="6" t="s">
        <v>142</v>
      </c>
      <c r="F50" s="6"/>
      <c r="G50" s="190" t="s">
        <v>162</v>
      </c>
      <c r="H50" s="367" t="s">
        <v>144</v>
      </c>
      <c r="I50" s="173">
        <v>29</v>
      </c>
      <c r="J50" s="174" t="s">
        <v>142</v>
      </c>
      <c r="K50" s="148"/>
      <c r="L50" s="1"/>
      <c r="M50" s="94"/>
      <c r="N50" s="1"/>
      <c r="O50" s="1"/>
      <c r="P50" s="16">
        <f>G7+G8+G9+G10+G11+G12+G13+G14+G15+G16+G17+G18+G19+G20+G21+G22+G23+G24+G25+G28+G29+G30+G31+G37+G39+G40+G42+G44+G45</f>
        <v>626300</v>
      </c>
      <c r="Q50" s="16">
        <f>+P7+P8+P9+P10+P11+P12+P13+P14+P15+P16+P17+P18+P19+P20+P21+P22+P23+P24+P25+P28+P29+P30+P31+P37+P39+P40+P42+P44+P45</f>
        <v>12930</v>
      </c>
      <c r="R50" s="16">
        <f>+M7+M8+M9+M10+M11+M12+M13+M14+M15+M16+M17+M18+M19+M20+M21+M22+M23+M24+M25+M28+M29+M30+M31+M37+M39+M40+M42</f>
        <v>0</v>
      </c>
      <c r="S50" s="24">
        <f>+Q10+Q13</f>
        <v>1510</v>
      </c>
      <c r="T50" s="16">
        <f>+R7+R8+R9+R10+R11+R12+R13+R14+R15+R16+R17+R18+R19+R20+R21+R22+R23+R24+R25+R28+R29+R30+R31+R37+R39+R40+R42+R44+R45</f>
        <v>611860</v>
      </c>
    </row>
    <row r="51" spans="1:20" ht="24.75" thickBot="1">
      <c r="A51" s="119"/>
      <c r="B51" s="419"/>
      <c r="C51" s="420"/>
      <c r="D51" s="300"/>
      <c r="E51" s="187"/>
      <c r="F51" s="187"/>
      <c r="G51" s="188"/>
      <c r="H51" s="189" t="s">
        <v>147</v>
      </c>
      <c r="I51" s="69">
        <f>SUM(I49:I50)</f>
        <v>39</v>
      </c>
      <c r="J51" s="155" t="s">
        <v>142</v>
      </c>
      <c r="K51" s="154"/>
      <c r="L51" s="154"/>
      <c r="M51" s="307"/>
      <c r="N51" s="1"/>
      <c r="O51" s="1"/>
      <c r="P51" s="308">
        <f>SUM(P49:P50)</f>
        <v>722005</v>
      </c>
      <c r="Q51" s="308">
        <f>SUM(Q49:Q50)</f>
        <v>15802</v>
      </c>
      <c r="R51" s="308">
        <f>SUM(R49:R50)</f>
        <v>0</v>
      </c>
      <c r="S51" s="309">
        <f>SUM(S49:S50)</f>
        <v>1510</v>
      </c>
      <c r="T51" s="308">
        <f>SUM(T49:T50)</f>
        <v>704693</v>
      </c>
    </row>
    <row r="52" spans="1:20" ht="24">
      <c r="A52" s="119"/>
      <c r="B52" s="311"/>
      <c r="C52" s="311"/>
      <c r="D52" s="311"/>
      <c r="E52" s="1"/>
      <c r="F52" s="1"/>
      <c r="G52" s="1"/>
      <c r="H52" s="312"/>
      <c r="I52" s="313"/>
      <c r="J52" s="66"/>
      <c r="K52" s="154"/>
      <c r="L52" s="154"/>
      <c r="M52" s="307"/>
      <c r="N52" s="1"/>
      <c r="O52" s="1"/>
      <c r="P52" s="314"/>
      <c r="Q52" s="314"/>
      <c r="R52" s="314"/>
      <c r="S52" s="315"/>
      <c r="T52" s="314"/>
    </row>
    <row r="53" spans="1:20" ht="24">
      <c r="A53" s="119"/>
      <c r="B53" s="311" t="s">
        <v>247</v>
      </c>
      <c r="C53" s="311"/>
      <c r="D53" s="311"/>
      <c r="E53" s="1"/>
      <c r="F53" s="1"/>
      <c r="G53" s="1"/>
      <c r="H53" s="312"/>
      <c r="I53" s="313"/>
      <c r="J53" s="66"/>
      <c r="K53" s="154"/>
      <c r="L53" s="154"/>
      <c r="M53" s="307"/>
      <c r="N53" s="1"/>
      <c r="O53" s="1"/>
      <c r="P53" s="314"/>
      <c r="Q53" s="314"/>
      <c r="R53" s="314"/>
      <c r="S53" s="315"/>
      <c r="T53" s="314"/>
    </row>
    <row r="54" spans="1:20" ht="24">
      <c r="A54" s="119"/>
      <c r="C54" s="159" t="s">
        <v>94</v>
      </c>
      <c r="D54" s="311" t="s">
        <v>248</v>
      </c>
      <c r="E54" s="1"/>
      <c r="F54" s="1"/>
      <c r="G54" s="1"/>
      <c r="H54" s="312"/>
      <c r="I54" s="313"/>
      <c r="J54" s="66"/>
      <c r="K54" s="154"/>
      <c r="L54" s="154"/>
      <c r="M54" s="307"/>
      <c r="N54" s="1"/>
      <c r="O54" s="1"/>
      <c r="P54" s="314"/>
      <c r="Q54" s="314"/>
      <c r="R54" s="314"/>
      <c r="S54" s="315"/>
      <c r="T54" s="314"/>
    </row>
    <row r="55" spans="1:20" ht="24">
      <c r="A55" s="119"/>
      <c r="C55" s="159" t="s">
        <v>99</v>
      </c>
      <c r="D55" s="311" t="s">
        <v>248</v>
      </c>
      <c r="E55" s="1"/>
      <c r="F55" s="1"/>
      <c r="G55" s="1"/>
      <c r="H55" s="312"/>
      <c r="I55" s="313"/>
      <c r="J55" s="66"/>
      <c r="K55" s="154"/>
      <c r="L55" s="154"/>
      <c r="M55" s="307"/>
      <c r="N55" s="1"/>
      <c r="O55" s="1"/>
      <c r="P55" s="314"/>
      <c r="Q55" s="314"/>
      <c r="R55" s="314"/>
      <c r="S55" s="315"/>
      <c r="T55" s="314"/>
    </row>
    <row r="56" spans="1:20" ht="24">
      <c r="A56" s="119"/>
      <c r="C56" s="373" t="s">
        <v>120</v>
      </c>
      <c r="D56" s="311" t="s">
        <v>144</v>
      </c>
      <c r="E56" s="1"/>
      <c r="F56" s="1"/>
      <c r="G56" s="1"/>
      <c r="H56" s="312"/>
      <c r="I56" s="313"/>
      <c r="J56" s="66"/>
      <c r="K56" s="154"/>
      <c r="L56" s="154"/>
      <c r="M56" s="307"/>
      <c r="N56" s="1"/>
      <c r="O56" s="1"/>
      <c r="P56" s="314"/>
      <c r="Q56" s="314"/>
      <c r="R56" s="314"/>
      <c r="S56" s="315"/>
      <c r="T56" s="314"/>
    </row>
    <row r="57" spans="1:20" ht="24">
      <c r="A57" s="119"/>
      <c r="C57" s="373" t="s">
        <v>122</v>
      </c>
      <c r="D57" s="311" t="s">
        <v>144</v>
      </c>
      <c r="E57" s="1"/>
      <c r="F57" s="1"/>
      <c r="G57" s="1"/>
      <c r="H57" s="312"/>
      <c r="I57" s="313"/>
      <c r="J57" s="66"/>
      <c r="K57" s="154"/>
      <c r="L57" s="154"/>
      <c r="M57" s="307"/>
      <c r="N57" s="1"/>
      <c r="O57" s="1"/>
      <c r="P57" s="314"/>
      <c r="Q57" s="314"/>
      <c r="R57" s="314"/>
      <c r="S57" s="315"/>
      <c r="T57" s="314"/>
    </row>
    <row r="58" spans="1:20" ht="24">
      <c r="A58" s="119"/>
      <c r="C58" s="373" t="s">
        <v>226</v>
      </c>
      <c r="D58" s="311" t="s">
        <v>144</v>
      </c>
      <c r="E58" s="1"/>
      <c r="F58" s="1"/>
      <c r="G58" s="1"/>
      <c r="H58" s="312"/>
      <c r="I58" s="313"/>
      <c r="J58" s="66"/>
      <c r="K58" s="154"/>
      <c r="L58" s="154"/>
      <c r="M58" s="307"/>
      <c r="N58" s="1"/>
      <c r="O58" s="1"/>
      <c r="P58" s="314"/>
      <c r="Q58" s="314"/>
      <c r="R58" s="314"/>
      <c r="S58" s="315"/>
      <c r="T58" s="314"/>
    </row>
    <row r="59" spans="1:20" ht="24">
      <c r="A59" s="119"/>
      <c r="C59" s="373" t="s">
        <v>236</v>
      </c>
      <c r="D59" s="311" t="s">
        <v>144</v>
      </c>
      <c r="E59" s="1"/>
      <c r="F59" s="1"/>
      <c r="G59" s="1"/>
      <c r="H59" s="312"/>
      <c r="I59" s="313"/>
      <c r="J59" s="66"/>
      <c r="K59" s="154"/>
      <c r="L59" s="154"/>
      <c r="M59" s="307"/>
      <c r="N59" s="1"/>
      <c r="O59" s="1"/>
      <c r="P59" s="314"/>
      <c r="Q59" s="314"/>
      <c r="R59" s="314"/>
      <c r="S59" s="315"/>
      <c r="T59" s="314"/>
    </row>
    <row r="60" spans="1:20" ht="24.75" thickBot="1">
      <c r="A60" s="119"/>
      <c r="B60" s="316"/>
      <c r="C60" s="317"/>
      <c r="D60" s="317"/>
      <c r="E60" s="317"/>
      <c r="F60" s="317"/>
      <c r="G60" s="1"/>
      <c r="H60" s="312"/>
      <c r="I60" s="313"/>
      <c r="J60" s="66"/>
      <c r="K60" s="154"/>
      <c r="L60" s="154"/>
      <c r="M60" s="307"/>
      <c r="N60" s="1"/>
      <c r="O60" s="1"/>
      <c r="P60" s="314"/>
      <c r="Q60" s="314"/>
      <c r="R60" s="314"/>
      <c r="S60" s="315"/>
      <c r="T60" s="314"/>
    </row>
    <row r="61" spans="1:20" ht="22.5" thickBot="1">
      <c r="A61" s="120"/>
      <c r="B61" s="429" t="s">
        <v>214</v>
      </c>
      <c r="C61" s="430"/>
      <c r="D61" s="430"/>
      <c r="E61" s="430"/>
      <c r="F61" s="430"/>
      <c r="G61" s="430"/>
      <c r="H61" s="430"/>
      <c r="I61" s="431"/>
      <c r="J61" s="1"/>
      <c r="K61" s="1"/>
      <c r="L61" s="1"/>
      <c r="M61" s="94"/>
      <c r="N61" s="1"/>
      <c r="O61" s="1"/>
      <c r="P61" s="1"/>
      <c r="Q61" s="168"/>
      <c r="R61" s="1"/>
      <c r="S61" s="76"/>
      <c r="T61" s="1"/>
    </row>
    <row r="62" spans="1:20" ht="43.5">
      <c r="B62" s="42" t="s">
        <v>167</v>
      </c>
      <c r="C62" s="42" t="s">
        <v>158</v>
      </c>
      <c r="D62" s="346" t="s">
        <v>170</v>
      </c>
      <c r="E62" s="346" t="s">
        <v>246</v>
      </c>
      <c r="F62" s="346" t="s">
        <v>215</v>
      </c>
      <c r="G62" s="43" t="s">
        <v>150</v>
      </c>
      <c r="H62" s="346" t="s">
        <v>172</v>
      </c>
      <c r="I62" s="346" t="s">
        <v>216</v>
      </c>
    </row>
    <row r="63" spans="1:20" ht="21.75">
      <c r="B63" s="199" t="s">
        <v>249</v>
      </c>
      <c r="C63" s="197">
        <f>G7+G12+G14+G15+G16+G17+G18+G21+G22+G23+G24+G25+G26+G27+G28+G31+G32+G33+G34+G35+G36+G37+G38+G39+G40+G41+G43</f>
        <v>496505</v>
      </c>
      <c r="D63" s="197">
        <f>S7+S12+S14+S15+S16+S17+S18+S21+S22+S23+S24+S25+S26+S27+S28+S31+S32+S33+S34+S35+S36+S37+S38+S39+S40+S41+S43</f>
        <v>10522</v>
      </c>
      <c r="E63" s="197">
        <f>P7+P12+P14+P15+P16+P17+P18+P21+P22+P23+P24+P25+P26+P27+P28+P31+P32+P33+P34+P35+P36+P37+P38+P39+P40+P41+P43</f>
        <v>10522</v>
      </c>
      <c r="F63" s="197">
        <f>M27+M33+M34+M36+M38+M41</f>
        <v>0</v>
      </c>
      <c r="G63" s="197">
        <v>0</v>
      </c>
      <c r="H63" s="197">
        <f>D63+E63</f>
        <v>21044</v>
      </c>
      <c r="I63" s="197">
        <f>+C63+D63+F63-H63-G63</f>
        <v>485983</v>
      </c>
    </row>
    <row r="64" spans="1:20" ht="21.75">
      <c r="B64" s="191" t="s">
        <v>224</v>
      </c>
      <c r="C64" s="204">
        <f>G8+G9+G10+G11+G13+G19+G20+G29+G30+G42+G44+G45</f>
        <v>225500</v>
      </c>
      <c r="D64" s="204">
        <f>S8+S9+S10+S11+S13+S19+S20+S29+S30+S42+S44+S45</f>
        <v>5280</v>
      </c>
      <c r="E64" s="204">
        <f>P8+P9+P10+P11+P13+P19+P20+P29+P30+P42+P44+P45</f>
        <v>5280</v>
      </c>
      <c r="F64" s="204"/>
      <c r="G64" s="204">
        <f>Q10+Q13</f>
        <v>1510</v>
      </c>
      <c r="H64" s="204">
        <f>D64+E64</f>
        <v>10560</v>
      </c>
      <c r="I64" s="204">
        <f>+C64+D64+F64-H64-G64</f>
        <v>218710</v>
      </c>
    </row>
    <row r="65" spans="2:9" ht="24">
      <c r="B65" s="195" t="s">
        <v>250</v>
      </c>
      <c r="C65" s="233">
        <f t="shared" ref="C65:I65" si="6">SUM(C63:C64)</f>
        <v>722005</v>
      </c>
      <c r="D65" s="233">
        <f t="shared" si="6"/>
        <v>15802</v>
      </c>
      <c r="E65" s="233">
        <f t="shared" si="6"/>
        <v>15802</v>
      </c>
      <c r="F65" s="233">
        <f t="shared" si="6"/>
        <v>0</v>
      </c>
      <c r="G65" s="233">
        <f t="shared" si="6"/>
        <v>1510</v>
      </c>
      <c r="H65" s="233">
        <f t="shared" si="6"/>
        <v>31604</v>
      </c>
      <c r="I65" s="233">
        <f t="shared" si="6"/>
        <v>704693</v>
      </c>
    </row>
  </sheetData>
  <mergeCells count="20">
    <mergeCell ref="A46:F46"/>
    <mergeCell ref="B51:C51"/>
    <mergeCell ref="B61:I61"/>
    <mergeCell ref="H5:H6"/>
    <mergeCell ref="I5:J5"/>
    <mergeCell ref="A1:T1"/>
    <mergeCell ref="A2:T2"/>
    <mergeCell ref="A3:T3"/>
    <mergeCell ref="A5:A6"/>
    <mergeCell ref="B5:B6"/>
    <mergeCell ref="C5:C6"/>
    <mergeCell ref="D5:D6"/>
    <mergeCell ref="E5:E6"/>
    <mergeCell ref="F5:F6"/>
    <mergeCell ref="G5:G6"/>
    <mergeCell ref="T5:T6"/>
    <mergeCell ref="K5:M5"/>
    <mergeCell ref="N5:Q5"/>
    <mergeCell ref="R5:R6"/>
    <mergeCell ref="S5:S6"/>
  </mergeCells>
  <pageMargins left="0.70866141732283472" right="0.70866141732283472" top="0.32" bottom="0.25" header="0.31496062992125984" footer="0.31496062992125984"/>
  <pageSetup paperSize="9" scale="61" fitToHeight="0" orientation="landscape" horizontalDpi="4294967293" verticalDpi="0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EA81-0735-4274-88B5-51610FA6CC71}">
  <sheetPr>
    <tabColor theme="6" tint="0.39997558519241921"/>
  </sheetPr>
  <dimension ref="A1:R21"/>
  <sheetViews>
    <sheetView tabSelected="1" view="pageBreakPreview" zoomScale="80" zoomScaleNormal="80" zoomScaleSheetLayoutView="80" workbookViewId="0">
      <selection activeCell="G10" sqref="G10"/>
    </sheetView>
  </sheetViews>
  <sheetFormatPr defaultColWidth="9.140625" defaultRowHeight="21"/>
  <cols>
    <col min="1" max="1" width="8.85546875" style="433" customWidth="1"/>
    <col min="2" max="2" width="23.140625" style="433" bestFit="1" customWidth="1"/>
    <col min="3" max="3" width="22.85546875" style="433" customWidth="1"/>
    <col min="4" max="4" width="29" style="433" customWidth="1"/>
    <col min="5" max="5" width="24.28515625" style="433" customWidth="1"/>
    <col min="6" max="6" width="14" style="433" customWidth="1"/>
    <col min="7" max="7" width="14.140625" style="433" bestFit="1" customWidth="1"/>
    <col min="8" max="8" width="19.140625" style="433" bestFit="1" customWidth="1"/>
    <col min="9" max="15" width="12.7109375" style="433" customWidth="1"/>
    <col min="16" max="16" width="12.42578125" style="433" bestFit="1" customWidth="1"/>
    <col min="17" max="17" width="14" style="433" bestFit="1" customWidth="1"/>
    <col min="18" max="18" width="15.140625" style="433" bestFit="1" customWidth="1"/>
    <col min="19" max="16384" width="9.140625" style="433"/>
  </cols>
  <sheetData>
    <row r="1" spans="1:18" ht="24">
      <c r="A1" s="432" t="s">
        <v>257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</row>
    <row r="2" spans="1:18" ht="24">
      <c r="A2" s="432" t="s">
        <v>1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432"/>
    </row>
    <row r="3" spans="1:18" ht="24">
      <c r="A3" s="432" t="s">
        <v>258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</row>
    <row r="4" spans="1:18" ht="24.75" thickBot="1">
      <c r="A4" s="434"/>
      <c r="B4" s="435"/>
      <c r="C4" s="435"/>
      <c r="D4" s="435"/>
      <c r="E4" s="435"/>
      <c r="F4" s="435"/>
      <c r="G4" s="436"/>
      <c r="H4" s="435"/>
      <c r="I4" s="435"/>
      <c r="J4" s="435"/>
      <c r="K4" s="435"/>
      <c r="L4" s="435"/>
      <c r="M4" s="437"/>
      <c r="N4" s="435"/>
      <c r="O4" s="437"/>
      <c r="P4" s="435"/>
      <c r="Q4" s="438"/>
      <c r="R4" s="435"/>
    </row>
    <row r="5" spans="1:18" ht="24">
      <c r="A5" s="439" t="s">
        <v>2</v>
      </c>
      <c r="B5" s="440" t="s">
        <v>3</v>
      </c>
      <c r="C5" s="441" t="s">
        <v>185</v>
      </c>
      <c r="D5" s="441" t="s">
        <v>186</v>
      </c>
      <c r="E5" s="440" t="s">
        <v>5</v>
      </c>
      <c r="F5" s="441" t="s">
        <v>254</v>
      </c>
      <c r="G5" s="442" t="s">
        <v>6</v>
      </c>
      <c r="H5" s="442" t="s">
        <v>7</v>
      </c>
      <c r="I5" s="443" t="s">
        <v>8</v>
      </c>
      <c r="J5" s="444"/>
      <c r="K5" s="445" t="s">
        <v>9</v>
      </c>
      <c r="L5" s="446"/>
      <c r="M5" s="447"/>
      <c r="N5" s="448" t="s">
        <v>10</v>
      </c>
      <c r="O5" s="449"/>
      <c r="P5" s="450" t="s">
        <v>11</v>
      </c>
      <c r="Q5" s="451" t="s">
        <v>154</v>
      </c>
      <c r="R5" s="452" t="s">
        <v>12</v>
      </c>
    </row>
    <row r="6" spans="1:18" ht="72.75" thickBot="1">
      <c r="A6" s="453"/>
      <c r="B6" s="454"/>
      <c r="C6" s="455"/>
      <c r="D6" s="455"/>
      <c r="E6" s="454"/>
      <c r="F6" s="455"/>
      <c r="G6" s="456"/>
      <c r="H6" s="456"/>
      <c r="I6" s="457" t="s">
        <v>13</v>
      </c>
      <c r="J6" s="457" t="s">
        <v>14</v>
      </c>
      <c r="K6" s="458" t="s">
        <v>255</v>
      </c>
      <c r="L6" s="459" t="s">
        <v>256</v>
      </c>
      <c r="M6" s="460" t="s">
        <v>215</v>
      </c>
      <c r="N6" s="460" t="s">
        <v>153</v>
      </c>
      <c r="O6" s="461" t="s">
        <v>150</v>
      </c>
      <c r="P6" s="462"/>
      <c r="Q6" s="463"/>
      <c r="R6" s="464"/>
    </row>
    <row r="7" spans="1:18" ht="24">
      <c r="A7" s="465"/>
      <c r="B7" s="466"/>
      <c r="C7" s="467"/>
      <c r="D7" s="468"/>
      <c r="E7" s="467"/>
      <c r="F7" s="469"/>
      <c r="G7" s="469"/>
      <c r="H7" s="467"/>
      <c r="I7" s="467"/>
      <c r="J7" s="467"/>
      <c r="K7" s="467"/>
      <c r="L7" s="467"/>
      <c r="M7" s="469"/>
      <c r="N7" s="469"/>
      <c r="O7" s="469"/>
      <c r="P7" s="469"/>
      <c r="Q7" s="469"/>
      <c r="R7" s="470"/>
    </row>
    <row r="8" spans="1:18" ht="24">
      <c r="A8" s="465"/>
      <c r="B8" s="471"/>
      <c r="C8" s="472"/>
      <c r="D8" s="473"/>
      <c r="E8" s="472"/>
      <c r="F8" s="474"/>
      <c r="G8" s="474"/>
      <c r="H8" s="472"/>
      <c r="I8" s="472"/>
      <c r="J8" s="472"/>
      <c r="K8" s="472"/>
      <c r="L8" s="472"/>
      <c r="M8" s="474"/>
      <c r="N8" s="474"/>
      <c r="O8" s="474"/>
      <c r="P8" s="474"/>
      <c r="Q8" s="474"/>
      <c r="R8" s="475"/>
    </row>
    <row r="9" spans="1:18" ht="24">
      <c r="A9" s="465"/>
      <c r="B9" s="471"/>
      <c r="C9" s="472"/>
      <c r="D9" s="473"/>
      <c r="E9" s="472"/>
      <c r="F9" s="474"/>
      <c r="G9" s="474"/>
      <c r="H9" s="472"/>
      <c r="I9" s="472"/>
      <c r="J9" s="472"/>
      <c r="K9" s="472"/>
      <c r="L9" s="472"/>
      <c r="M9" s="474"/>
      <c r="N9" s="474"/>
      <c r="O9" s="474"/>
      <c r="P9" s="474"/>
      <c r="Q9" s="474"/>
      <c r="R9" s="475"/>
    </row>
    <row r="10" spans="1:18" ht="24">
      <c r="A10" s="465"/>
      <c r="B10" s="471"/>
      <c r="C10" s="472"/>
      <c r="D10" s="473"/>
      <c r="E10" s="472"/>
      <c r="F10" s="474"/>
      <c r="G10" s="474"/>
      <c r="H10" s="472"/>
      <c r="I10" s="472"/>
      <c r="J10" s="472"/>
      <c r="K10" s="472"/>
      <c r="L10" s="472"/>
      <c r="M10" s="474"/>
      <c r="N10" s="474"/>
      <c r="O10" s="474"/>
      <c r="P10" s="474"/>
      <c r="Q10" s="474"/>
      <c r="R10" s="475"/>
    </row>
    <row r="11" spans="1:18" ht="24">
      <c r="A11" s="465"/>
      <c r="B11" s="471"/>
      <c r="C11" s="472"/>
      <c r="D11" s="473"/>
      <c r="E11" s="472"/>
      <c r="F11" s="474"/>
      <c r="G11" s="474"/>
      <c r="H11" s="472"/>
      <c r="I11" s="472"/>
      <c r="J11" s="472"/>
      <c r="K11" s="472"/>
      <c r="L11" s="472"/>
      <c r="M11" s="474"/>
      <c r="N11" s="474"/>
      <c r="O11" s="474"/>
      <c r="P11" s="474"/>
      <c r="Q11" s="474"/>
      <c r="R11" s="475"/>
    </row>
    <row r="12" spans="1:18" ht="24">
      <c r="A12" s="465"/>
      <c r="B12" s="471"/>
      <c r="C12" s="472"/>
      <c r="D12" s="473"/>
      <c r="E12" s="472"/>
      <c r="F12" s="474"/>
      <c r="G12" s="474"/>
      <c r="H12" s="472"/>
      <c r="I12" s="472"/>
      <c r="J12" s="472"/>
      <c r="K12" s="472"/>
      <c r="L12" s="472"/>
      <c r="M12" s="474"/>
      <c r="N12" s="474"/>
      <c r="O12" s="474"/>
      <c r="P12" s="474"/>
      <c r="Q12" s="474"/>
      <c r="R12" s="475"/>
    </row>
    <row r="13" spans="1:18" ht="24">
      <c r="A13" s="465"/>
      <c r="B13" s="471"/>
      <c r="C13" s="472"/>
      <c r="D13" s="473"/>
      <c r="E13" s="472"/>
      <c r="F13" s="474"/>
      <c r="G13" s="474"/>
      <c r="H13" s="472"/>
      <c r="I13" s="472"/>
      <c r="J13" s="472"/>
      <c r="K13" s="472"/>
      <c r="L13" s="472"/>
      <c r="M13" s="474"/>
      <c r="N13" s="474"/>
      <c r="O13" s="474"/>
      <c r="P13" s="474"/>
      <c r="Q13" s="474"/>
      <c r="R13" s="475"/>
    </row>
    <row r="14" spans="1:18" ht="24">
      <c r="A14" s="465"/>
      <c r="B14" s="471"/>
      <c r="C14" s="472"/>
      <c r="D14" s="473"/>
      <c r="E14" s="472"/>
      <c r="F14" s="474"/>
      <c r="G14" s="474"/>
      <c r="H14" s="472"/>
      <c r="I14" s="472"/>
      <c r="J14" s="472"/>
      <c r="K14" s="472"/>
      <c r="L14" s="472"/>
      <c r="M14" s="474"/>
      <c r="N14" s="474"/>
      <c r="O14" s="474"/>
      <c r="P14" s="474"/>
      <c r="Q14" s="474"/>
      <c r="R14" s="475"/>
    </row>
    <row r="15" spans="1:18" ht="24">
      <c r="A15" s="465"/>
      <c r="B15" s="471"/>
      <c r="C15" s="472"/>
      <c r="D15" s="473"/>
      <c r="E15" s="472"/>
      <c r="F15" s="474"/>
      <c r="G15" s="474"/>
      <c r="H15" s="472"/>
      <c r="I15" s="472"/>
      <c r="J15" s="472"/>
      <c r="K15" s="472"/>
      <c r="L15" s="472"/>
      <c r="M15" s="474"/>
      <c r="N15" s="474"/>
      <c r="O15" s="474"/>
      <c r="P15" s="474"/>
      <c r="Q15" s="474"/>
      <c r="R15" s="475"/>
    </row>
    <row r="16" spans="1:18" ht="24">
      <c r="A16" s="465"/>
      <c r="B16" s="471"/>
      <c r="C16" s="472"/>
      <c r="D16" s="473"/>
      <c r="E16" s="472"/>
      <c r="F16" s="474"/>
      <c r="G16" s="474"/>
      <c r="H16" s="472"/>
      <c r="I16" s="472"/>
      <c r="J16" s="472"/>
      <c r="K16" s="472"/>
      <c r="L16" s="472"/>
      <c r="M16" s="474"/>
      <c r="N16" s="474"/>
      <c r="O16" s="474"/>
      <c r="P16" s="474"/>
      <c r="Q16" s="474"/>
      <c r="R16" s="475"/>
    </row>
    <row r="17" spans="1:18" ht="24">
      <c r="A17" s="465"/>
      <c r="B17" s="471"/>
      <c r="C17" s="472"/>
      <c r="D17" s="473"/>
      <c r="E17" s="472"/>
      <c r="F17" s="474"/>
      <c r="G17" s="474"/>
      <c r="H17" s="472"/>
      <c r="I17" s="472"/>
      <c r="J17" s="472"/>
      <c r="K17" s="472"/>
      <c r="L17" s="472"/>
      <c r="M17" s="474"/>
      <c r="N17" s="474"/>
      <c r="O17" s="474"/>
      <c r="P17" s="474"/>
      <c r="Q17" s="474"/>
      <c r="R17" s="475"/>
    </row>
    <row r="18" spans="1:18" s="478" customFormat="1" ht="24">
      <c r="A18" s="465"/>
      <c r="B18" s="471"/>
      <c r="C18" s="472"/>
      <c r="D18" s="472"/>
      <c r="E18" s="472"/>
      <c r="F18" s="474"/>
      <c r="G18" s="474"/>
      <c r="H18" s="476"/>
      <c r="I18" s="472"/>
      <c r="J18" s="472"/>
      <c r="K18" s="472"/>
      <c r="L18" s="472"/>
      <c r="M18" s="474"/>
      <c r="N18" s="474"/>
      <c r="O18" s="474"/>
      <c r="P18" s="474"/>
      <c r="Q18" s="474"/>
      <c r="R18" s="477"/>
    </row>
    <row r="19" spans="1:18" ht="24">
      <c r="A19" s="465"/>
      <c r="B19" s="471"/>
      <c r="C19" s="473"/>
      <c r="D19" s="473"/>
      <c r="E19" s="472"/>
      <c r="F19" s="474"/>
      <c r="G19" s="474"/>
      <c r="H19" s="479"/>
      <c r="I19" s="472"/>
      <c r="J19" s="472"/>
      <c r="K19" s="472"/>
      <c r="L19" s="472"/>
      <c r="M19" s="474"/>
      <c r="N19" s="474"/>
      <c r="O19" s="474"/>
      <c r="P19" s="474"/>
      <c r="Q19" s="474"/>
      <c r="R19" s="475"/>
    </row>
    <row r="20" spans="1:18" ht="24.75" customHeight="1" thickBot="1">
      <c r="A20" s="483" t="s">
        <v>259</v>
      </c>
      <c r="B20" s="483"/>
      <c r="C20" s="483"/>
      <c r="D20" s="483"/>
      <c r="E20" s="483"/>
      <c r="F20" s="483"/>
      <c r="G20" s="480"/>
      <c r="H20" s="481"/>
      <c r="I20" s="481"/>
      <c r="J20" s="481"/>
      <c r="K20" s="481"/>
      <c r="L20" s="481"/>
      <c r="M20" s="481"/>
      <c r="N20" s="480"/>
      <c r="O20" s="480"/>
      <c r="P20" s="480"/>
      <c r="Q20" s="480"/>
      <c r="R20" s="482"/>
    </row>
    <row r="21" spans="1:18" ht="21.75" thickTop="1"/>
  </sheetData>
  <mergeCells count="18">
    <mergeCell ref="A1:R1"/>
    <mergeCell ref="A2:R2"/>
    <mergeCell ref="A3:R3"/>
    <mergeCell ref="A5:A6"/>
    <mergeCell ref="B5:B6"/>
    <mergeCell ref="C5:C6"/>
    <mergeCell ref="D5:D6"/>
    <mergeCell ref="E5:E6"/>
    <mergeCell ref="F5:F6"/>
    <mergeCell ref="G5:G6"/>
    <mergeCell ref="R5:R6"/>
    <mergeCell ref="N5:O5"/>
    <mergeCell ref="P5:P6"/>
    <mergeCell ref="Q5:Q6"/>
    <mergeCell ref="A20:F20"/>
    <mergeCell ref="H5:H6"/>
    <mergeCell ref="I5:J5"/>
    <mergeCell ref="K5:M5"/>
  </mergeCells>
  <pageMargins left="0.19685039370078741" right="0.19685039370078741" top="0.35433070866141736" bottom="0.31496062992125984" header="0.31496062992125984" footer="0.31496062992125984"/>
  <pageSetup paperSize="9" scale="46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47</vt:i4>
      </vt:variant>
    </vt:vector>
  </HeadingPairs>
  <TitlesOfParts>
    <vt:vector size="80" baseType="lpstr">
      <vt:lpstr>ม.ค.64</vt:lpstr>
      <vt:lpstr>ม.ค.64 (เงินเดือน)</vt:lpstr>
      <vt:lpstr>ก.พ.64</vt:lpstr>
      <vt:lpstr>ก.พ.64 (เงินเดือน)</vt:lpstr>
      <vt:lpstr>มี.ค.64</vt:lpstr>
      <vt:lpstr>มี.ค.64 (เงินเดือน)</vt:lpstr>
      <vt:lpstr>เม.ย.64</vt:lpstr>
      <vt:lpstr>เม.ย.64 (เงินเดือน)</vt:lpstr>
      <vt:lpstr>พ.ค.64</vt:lpstr>
      <vt:lpstr>พ.ค.64 (เงินเดือน)</vt:lpstr>
      <vt:lpstr>มิ.ย.64</vt:lpstr>
      <vt:lpstr>มิ.ย.64 (เงินเดือน)</vt:lpstr>
      <vt:lpstr>ก.ค.64</vt:lpstr>
      <vt:lpstr>ก.ค.64 (เงินเดือน)</vt:lpstr>
      <vt:lpstr>ส.ค.64</vt:lpstr>
      <vt:lpstr>ส.ค.64 (เงินเดือน)</vt:lpstr>
      <vt:lpstr>ก.ย.64</vt:lpstr>
      <vt:lpstr>ก.ย.64 (เงินเดือน)</vt:lpstr>
      <vt:lpstr>ต.ค.64 </vt:lpstr>
      <vt:lpstr>ต.ค.64  (เงินเดือน)</vt:lpstr>
      <vt:lpstr>พ.ย.64</vt:lpstr>
      <vt:lpstr>ธ.ค.64</vt:lpstr>
      <vt:lpstr>ก.พ.65</vt:lpstr>
      <vt:lpstr>มี.ค.65</vt:lpstr>
      <vt:lpstr>เม.ย.65</vt:lpstr>
      <vt:lpstr>พ.ค.65</vt:lpstr>
      <vt:lpstr>มิ.ย.65</vt:lpstr>
      <vt:lpstr>ก.ค.65</vt:lpstr>
      <vt:lpstr>ส.ค.65</vt:lpstr>
      <vt:lpstr>ก.ย.65</vt:lpstr>
      <vt:lpstr>ต.ค.65</vt:lpstr>
      <vt:lpstr>พ.ย.65</vt:lpstr>
      <vt:lpstr>เงินเดือน</vt:lpstr>
      <vt:lpstr>ก.ค.64!Print_Area</vt:lpstr>
      <vt:lpstr>'ก.ค.64 (เงินเดือน)'!Print_Area</vt:lpstr>
      <vt:lpstr>ก.พ.64!Print_Area</vt:lpstr>
      <vt:lpstr>'ก.พ.64 (เงินเดือน)'!Print_Area</vt:lpstr>
      <vt:lpstr>ก.ย.64!Print_Area</vt:lpstr>
      <vt:lpstr>'ก.ย.64 (เงินเดือน)'!Print_Area</vt:lpstr>
      <vt:lpstr>เงินเดือน!Print_Area</vt:lpstr>
      <vt:lpstr>'ต.ค.64 '!Print_Area</vt:lpstr>
      <vt:lpstr>'ต.ค.64  (เงินเดือน)'!Print_Area</vt:lpstr>
      <vt:lpstr>ธ.ค.64!Print_Area</vt:lpstr>
      <vt:lpstr>พ.ค.64!Print_Area</vt:lpstr>
      <vt:lpstr>'พ.ค.64 (เงินเดือน)'!Print_Area</vt:lpstr>
      <vt:lpstr>พ.ย.64!Print_Area</vt:lpstr>
      <vt:lpstr>ม.ค.64!Print_Area</vt:lpstr>
      <vt:lpstr>'ม.ค.64 (เงินเดือน)'!Print_Area</vt:lpstr>
      <vt:lpstr>มิ.ย.64!Print_Area</vt:lpstr>
      <vt:lpstr>'มิ.ย.64 (เงินเดือน)'!Print_Area</vt:lpstr>
      <vt:lpstr>มี.ค.64!Print_Area</vt:lpstr>
      <vt:lpstr>'มี.ค.64 (เงินเดือน)'!Print_Area</vt:lpstr>
      <vt:lpstr>เม.ย.64!Print_Area</vt:lpstr>
      <vt:lpstr>'เม.ย.64 (เงินเดือน)'!Print_Area</vt:lpstr>
      <vt:lpstr>ส.ค.64!Print_Area</vt:lpstr>
      <vt:lpstr>'ส.ค.64 (เงินเดือน)'!Print_Area</vt:lpstr>
      <vt:lpstr>ก.ค.64!Print_Titles</vt:lpstr>
      <vt:lpstr>'ก.ค.64 (เงินเดือน)'!Print_Titles</vt:lpstr>
      <vt:lpstr>ก.พ.64!Print_Titles</vt:lpstr>
      <vt:lpstr>'ก.พ.64 (เงินเดือน)'!Print_Titles</vt:lpstr>
      <vt:lpstr>ก.ย.64!Print_Titles</vt:lpstr>
      <vt:lpstr>'ก.ย.64 (เงินเดือน)'!Print_Titles</vt:lpstr>
      <vt:lpstr>เงินเดือน!Print_Titles</vt:lpstr>
      <vt:lpstr>'ต.ค.64 '!Print_Titles</vt:lpstr>
      <vt:lpstr>'ต.ค.64  (เงินเดือน)'!Print_Titles</vt:lpstr>
      <vt:lpstr>ธ.ค.64!Print_Titles</vt:lpstr>
      <vt:lpstr>พ.ค.64!Print_Titles</vt:lpstr>
      <vt:lpstr>'พ.ค.64 (เงินเดือน)'!Print_Titles</vt:lpstr>
      <vt:lpstr>พ.ย.64!Print_Titles</vt:lpstr>
      <vt:lpstr>พ.ย.65!Print_Titles</vt:lpstr>
      <vt:lpstr>ม.ค.64!Print_Titles</vt:lpstr>
      <vt:lpstr>'ม.ค.64 (เงินเดือน)'!Print_Titles</vt:lpstr>
      <vt:lpstr>มิ.ย.64!Print_Titles</vt:lpstr>
      <vt:lpstr>'มิ.ย.64 (เงินเดือน)'!Print_Titles</vt:lpstr>
      <vt:lpstr>มี.ค.64!Print_Titles</vt:lpstr>
      <vt:lpstr>'มี.ค.64 (เงินเดือน)'!Print_Titles</vt:lpstr>
      <vt:lpstr>เม.ย.64!Print_Titles</vt:lpstr>
      <vt:lpstr>'เม.ย.64 (เงินเดือน)'!Print_Titles</vt:lpstr>
      <vt:lpstr>ส.ค.64!Print_Titles</vt:lpstr>
      <vt:lpstr>'ส.ค.64 (เงินเดือน)'!Print_Titles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jira accounting</cp:lastModifiedBy>
  <cp:lastPrinted>2025-01-08T05:01:14Z</cp:lastPrinted>
  <dcterms:created xsi:type="dcterms:W3CDTF">2020-02-05T09:17:38Z</dcterms:created>
  <dcterms:modified xsi:type="dcterms:W3CDTF">2026-07-22T02:31:43Z</dcterms:modified>
</cp:coreProperties>
</file>